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tabRatio="900" activeTab="4"/>
  </bookViews>
  <sheets>
    <sheet name="PUG" sheetId="1" r:id="rId1"/>
    <sheet name="견적 Basis" sheetId="2" r:id="rId2"/>
    <sheet name="견적서" sheetId="3" r:id="rId3"/>
    <sheet name="을지_S&amp;T" sheetId="4" r:id="rId4"/>
    <sheet name="상세견적_S&amp;T" sheetId="5" r:id="rId5"/>
    <sheet name="form" sheetId="6" r:id="rId6"/>
    <sheet name="a" sheetId="7" r:id="rId7"/>
  </sheets>
  <definedNames>
    <definedName name="coname">'상세견적_S&amp;T'!$AF$60</definedName>
    <definedName name="cosymbol">'상세견적_S&amp;T'!$AD$60</definedName>
    <definedName name="name_SnT">'을지_S&amp;T'!$E$10</definedName>
    <definedName name="name_SnT2">'을지_S&amp;T'!$E$19</definedName>
    <definedName name="name_THE">#REF!</definedName>
    <definedName name="name_THE2">#REF!</definedName>
    <definedName name="_xlnm.Print_Area" localSheetId="6">'a'!$A$1:$AB$60</definedName>
    <definedName name="_xlnm.Print_Area" localSheetId="5">'form'!$A$1:$AB$120</definedName>
    <definedName name="_xlnm.Print_Area" localSheetId="0">'PUG'!$A$1:$AB$63</definedName>
    <definedName name="_xlnm.Print_Area" localSheetId="1">'견적 Basis'!$A$1:$AB$60</definedName>
    <definedName name="_xlnm.Print_Area" localSheetId="2">'견적서'!$A$1:$AB$60</definedName>
    <definedName name="_xlnm.Print_Area" localSheetId="4">'상세견적_S&amp;T'!$A$1:$AB$229</definedName>
    <definedName name="_xlnm.Print_Area" localSheetId="3">'을지_S&amp;T'!$A$1:$AB$60</definedName>
    <definedName name="qty_SnT">'을지_S&amp;T'!$P$10</definedName>
    <definedName name="qty_SnT2">'을지_S&amp;T'!$P$19</definedName>
    <definedName name="qty_THE">#REF!</definedName>
    <definedName name="qty_THE2">#REF!</definedName>
    <definedName name="uprice_SnT">'을지_S&amp;T'!$S$10</definedName>
    <definedName name="uprice_SnT_SP2Y">'을지_S&amp;T'!$S$17</definedName>
    <definedName name="uprice_SnT_SPEnC">'을지_S&amp;T'!$S$16</definedName>
    <definedName name="uprice_SnT2">'을지_S&amp;T'!$S$19</definedName>
    <definedName name="uprice_SnT2_SP2Y">'을지_S&amp;T'!$S$26</definedName>
    <definedName name="uprice_SnT2_SPEnC">'을지_S&amp;T'!$S$25</definedName>
    <definedName name="uprice_THE">#REF!</definedName>
    <definedName name="uprice_THE_SP2Y">#REF!</definedName>
    <definedName name="uprice_THE_SPEnC">#REF!</definedName>
    <definedName name="uprice_THE2">#REF!</definedName>
    <definedName name="uprice_THE2_SP2Y">#REF!</definedName>
    <definedName name="uprice_THE2_SPEnC">#REF!</definedName>
  </definedNames>
  <calcPr fullCalcOnLoad="1"/>
</workbook>
</file>

<file path=xl/comments2.xml><?xml version="1.0" encoding="utf-8"?>
<comments xmlns="http://schemas.openxmlformats.org/spreadsheetml/2006/main">
  <authors>
    <author>NTES</author>
  </authors>
  <commentList>
    <comment ref="AD3" authorId="0">
      <text>
        <r>
          <rPr>
            <b/>
            <sz val="8"/>
            <rFont val="Arial"/>
            <family val="2"/>
          </rPr>
          <t>Cell is filled !</t>
        </r>
      </text>
    </comment>
  </commentList>
</comments>
</file>

<file path=xl/comments3.xml><?xml version="1.0" encoding="utf-8"?>
<comments xmlns="http://schemas.openxmlformats.org/spreadsheetml/2006/main">
  <authors>
    <author>NTES</author>
  </authors>
  <commentList>
    <comment ref="AD3" authorId="0">
      <text>
        <r>
          <rPr>
            <b/>
            <sz val="8"/>
            <rFont val="Arial"/>
            <family val="2"/>
          </rPr>
          <t>Cell is filled !</t>
        </r>
      </text>
    </comment>
  </commentList>
</comments>
</file>

<file path=xl/comments4.xml><?xml version="1.0" encoding="utf-8"?>
<comments xmlns="http://schemas.openxmlformats.org/spreadsheetml/2006/main">
  <authors>
    <author>NTES</author>
  </authors>
  <commentList>
    <comment ref="AD3" authorId="0">
      <text>
        <r>
          <rPr>
            <b/>
            <sz val="8"/>
            <rFont val="Arial"/>
            <family val="2"/>
          </rPr>
          <t>Cell is filled !</t>
        </r>
      </text>
    </comment>
    <comment ref="P13" authorId="0">
      <text>
        <r>
          <rPr>
            <b/>
            <sz val="8"/>
            <rFont val="Arial"/>
            <family val="2"/>
          </rPr>
          <t>Cell is filled !</t>
        </r>
      </text>
    </comment>
    <comment ref="Q13" authorId="0">
      <text>
        <r>
          <rPr>
            <b/>
            <sz val="8"/>
            <rFont val="Arial"/>
            <family val="2"/>
          </rPr>
          <t>Cell is filled !</t>
        </r>
      </text>
    </comment>
    <comment ref="S13" authorId="0">
      <text>
        <r>
          <rPr>
            <b/>
            <sz val="8"/>
            <rFont val="Arial"/>
            <family val="2"/>
          </rPr>
          <t>Cell is filled !</t>
        </r>
      </text>
    </comment>
    <comment ref="P14" authorId="0">
      <text>
        <r>
          <rPr>
            <b/>
            <sz val="8"/>
            <rFont val="Arial"/>
            <family val="2"/>
          </rPr>
          <t>Cell is filled !</t>
        </r>
      </text>
    </comment>
    <comment ref="Q14" authorId="0">
      <text>
        <r>
          <rPr>
            <b/>
            <sz val="8"/>
            <rFont val="Arial"/>
            <family val="2"/>
          </rPr>
          <t>Cell is filled !</t>
        </r>
      </text>
    </comment>
    <comment ref="S14" authorId="0">
      <text>
        <r>
          <rPr>
            <b/>
            <sz val="8"/>
            <rFont val="Arial"/>
            <family val="2"/>
          </rPr>
          <t>Cell is filled !</t>
        </r>
      </text>
    </comment>
    <comment ref="P15" authorId="0">
      <text>
        <r>
          <rPr>
            <b/>
            <sz val="8"/>
            <rFont val="Arial"/>
            <family val="2"/>
          </rPr>
          <t>Cell is filled !</t>
        </r>
      </text>
    </comment>
    <comment ref="Q15" authorId="0">
      <text>
        <r>
          <rPr>
            <b/>
            <sz val="8"/>
            <rFont val="Arial"/>
            <family val="2"/>
          </rPr>
          <t>Cell is filled !</t>
        </r>
      </text>
    </comment>
    <comment ref="S15" authorId="0">
      <text>
        <r>
          <rPr>
            <b/>
            <sz val="8"/>
            <rFont val="Arial"/>
            <family val="2"/>
          </rPr>
          <t>Cell is filled !</t>
        </r>
      </text>
    </comment>
    <comment ref="P22" authorId="0">
      <text>
        <r>
          <rPr>
            <b/>
            <sz val="8"/>
            <rFont val="Arial"/>
            <family val="2"/>
          </rPr>
          <t>Cell is filled !</t>
        </r>
      </text>
    </comment>
    <comment ref="Q22" authorId="0">
      <text>
        <r>
          <rPr>
            <b/>
            <sz val="8"/>
            <rFont val="Arial"/>
            <family val="2"/>
          </rPr>
          <t>Cell is filled !</t>
        </r>
      </text>
    </comment>
    <comment ref="S22" authorId="0">
      <text>
        <r>
          <rPr>
            <b/>
            <sz val="8"/>
            <rFont val="Arial"/>
            <family val="2"/>
          </rPr>
          <t>Cell is filled !</t>
        </r>
      </text>
    </comment>
    <comment ref="P23" authorId="0">
      <text>
        <r>
          <rPr>
            <b/>
            <sz val="8"/>
            <rFont val="Arial"/>
            <family val="2"/>
          </rPr>
          <t>Cell is filled !</t>
        </r>
      </text>
    </comment>
    <comment ref="Q23" authorId="0">
      <text>
        <r>
          <rPr>
            <b/>
            <sz val="8"/>
            <rFont val="Arial"/>
            <family val="2"/>
          </rPr>
          <t>Cell is filled !</t>
        </r>
      </text>
    </comment>
    <comment ref="S23" authorId="0">
      <text>
        <r>
          <rPr>
            <b/>
            <sz val="8"/>
            <rFont val="Arial"/>
            <family val="2"/>
          </rPr>
          <t>Cell is filled !</t>
        </r>
      </text>
    </comment>
    <comment ref="P24" authorId="0">
      <text>
        <r>
          <rPr>
            <b/>
            <sz val="8"/>
            <rFont val="Arial"/>
            <family val="2"/>
          </rPr>
          <t>Cell is filled !</t>
        </r>
      </text>
    </comment>
    <comment ref="Q24" authorId="0">
      <text>
        <r>
          <rPr>
            <b/>
            <sz val="8"/>
            <rFont val="Arial"/>
            <family val="2"/>
          </rPr>
          <t>Cell is filled !</t>
        </r>
      </text>
    </comment>
    <comment ref="S24" authorId="0">
      <text>
        <r>
          <rPr>
            <b/>
            <sz val="8"/>
            <rFont val="Arial"/>
            <family val="2"/>
          </rPr>
          <t>Cell is filled !</t>
        </r>
      </text>
    </comment>
  </commentList>
</comments>
</file>

<file path=xl/comments5.xml><?xml version="1.0" encoding="utf-8"?>
<comments xmlns="http://schemas.openxmlformats.org/spreadsheetml/2006/main">
  <authors>
    <author>NTES</author>
    <author>Windows 사용자</author>
  </authors>
  <commentList>
    <comment ref="AD7" authorId="0">
      <text>
        <r>
          <rPr>
            <b/>
            <sz val="8"/>
            <rFont val="Arial"/>
            <family val="2"/>
          </rPr>
          <t>Cell is filled !</t>
        </r>
      </text>
    </comment>
    <comment ref="AH13" authorId="0">
      <text>
        <r>
          <rPr>
            <b/>
            <sz val="8"/>
            <rFont val="Arial"/>
            <family val="2"/>
          </rPr>
          <t>Cell is filled !</t>
        </r>
      </text>
    </comment>
    <comment ref="E20" authorId="0">
      <text>
        <r>
          <rPr>
            <b/>
            <sz val="8"/>
            <rFont val="Arial"/>
            <family val="2"/>
          </rPr>
          <t>Cell is filled !</t>
        </r>
      </text>
    </comment>
    <comment ref="N85" authorId="1">
      <text>
        <r>
          <rPr>
            <b/>
            <sz val="8"/>
            <rFont val="Arial"/>
            <family val="2"/>
          </rPr>
          <t>Flange Weight</t>
        </r>
      </text>
    </comment>
    <comment ref="N88" authorId="1">
      <text>
        <r>
          <rPr>
            <b/>
            <sz val="8"/>
            <rFont val="Arial"/>
            <family val="2"/>
          </rPr>
          <t>Flange Weight</t>
        </r>
      </text>
    </comment>
    <comment ref="N90" authorId="1">
      <text>
        <r>
          <rPr>
            <b/>
            <sz val="8"/>
            <rFont val="Arial"/>
            <family val="2"/>
          </rPr>
          <t>Flange Weight</t>
        </r>
      </text>
    </comment>
    <comment ref="N92" authorId="1">
      <text>
        <r>
          <rPr>
            <b/>
            <sz val="8"/>
            <rFont val="Arial"/>
            <family val="2"/>
          </rPr>
          <t>Flange Weight</t>
        </r>
      </text>
    </comment>
    <comment ref="N33" authorId="1">
      <text>
        <r>
          <rPr>
            <b/>
            <sz val="8"/>
            <rFont val="Arial"/>
            <family val="2"/>
          </rPr>
          <t>Flange Weight</t>
        </r>
      </text>
    </comment>
    <comment ref="W33" authorId="0">
      <text>
        <r>
          <rPr>
            <b/>
            <sz val="8"/>
            <rFont val="돋움"/>
            <family val="3"/>
          </rPr>
          <t>개당</t>
        </r>
        <r>
          <rPr>
            <b/>
            <sz val="8"/>
            <rFont val="Arial"/>
            <family val="2"/>
          </rPr>
          <t xml:space="preserve"> Flange </t>
        </r>
        <r>
          <rPr>
            <b/>
            <sz val="8"/>
            <rFont val="돋움"/>
            <family val="3"/>
          </rPr>
          <t>단가</t>
        </r>
        <r>
          <rPr>
            <b/>
            <sz val="8"/>
            <rFont val="Arial"/>
            <family val="2"/>
          </rPr>
          <t xml:space="preserve">
</t>
        </r>
      </text>
    </comment>
    <comment ref="N36" authorId="1">
      <text>
        <r>
          <rPr>
            <b/>
            <sz val="8"/>
            <rFont val="Arial"/>
            <family val="2"/>
          </rPr>
          <t>Flange Weight</t>
        </r>
      </text>
    </comment>
    <comment ref="N38" authorId="1">
      <text>
        <r>
          <rPr>
            <b/>
            <sz val="8"/>
            <rFont val="Arial"/>
            <family val="2"/>
          </rPr>
          <t>Flange Weight</t>
        </r>
      </text>
    </comment>
    <comment ref="N40" authorId="1">
      <text>
        <r>
          <rPr>
            <b/>
            <sz val="8"/>
            <rFont val="Arial"/>
            <family val="2"/>
          </rPr>
          <t>Flange Weight</t>
        </r>
      </text>
    </comment>
    <comment ref="N68" authorId="0">
      <text>
        <r>
          <rPr>
            <b/>
            <sz val="8"/>
            <rFont val="Arial"/>
            <family val="2"/>
          </rPr>
          <t xml:space="preserve">Blind Flange Weight
</t>
        </r>
      </text>
    </comment>
    <comment ref="N69" authorId="1">
      <text>
        <r>
          <rPr>
            <b/>
            <sz val="8"/>
            <rFont val="Arial"/>
            <family val="2"/>
          </rPr>
          <t>Flange Weight</t>
        </r>
      </text>
    </comment>
    <comment ref="W68" authorId="0">
      <text>
        <r>
          <rPr>
            <b/>
            <sz val="8"/>
            <rFont val="돋움"/>
            <family val="3"/>
          </rPr>
          <t>개당</t>
        </r>
        <r>
          <rPr>
            <b/>
            <sz val="8"/>
            <rFont val="Arial"/>
            <family val="2"/>
          </rPr>
          <t xml:space="preserve"> Flange </t>
        </r>
        <r>
          <rPr>
            <b/>
            <sz val="8"/>
            <rFont val="돋움"/>
            <family val="3"/>
          </rPr>
          <t>단가</t>
        </r>
        <r>
          <rPr>
            <b/>
            <sz val="8"/>
            <rFont val="Arial"/>
            <family val="2"/>
          </rPr>
          <t xml:space="preserve">
</t>
        </r>
      </text>
    </comment>
    <comment ref="N77" authorId="0">
      <text>
        <r>
          <rPr>
            <b/>
            <sz val="8"/>
            <rFont val="Arial"/>
            <family val="2"/>
          </rPr>
          <t xml:space="preserve">Blind Flange Weight
</t>
        </r>
      </text>
    </comment>
    <comment ref="N78" authorId="1">
      <text>
        <r>
          <rPr>
            <b/>
            <sz val="8"/>
            <rFont val="Arial"/>
            <family val="2"/>
          </rPr>
          <t>Flange Weight</t>
        </r>
      </text>
    </comment>
    <comment ref="W77" authorId="0">
      <text>
        <r>
          <rPr>
            <b/>
            <sz val="8"/>
            <rFont val="돋움"/>
            <family val="3"/>
          </rPr>
          <t>개당</t>
        </r>
        <r>
          <rPr>
            <b/>
            <sz val="8"/>
            <rFont val="Arial"/>
            <family val="2"/>
          </rPr>
          <t xml:space="preserve"> Flange </t>
        </r>
        <r>
          <rPr>
            <b/>
            <sz val="8"/>
            <rFont val="돋움"/>
            <family val="3"/>
          </rPr>
          <t>단가</t>
        </r>
        <r>
          <rPr>
            <b/>
            <sz val="8"/>
            <rFont val="Arial"/>
            <family val="2"/>
          </rPr>
          <t xml:space="preserve">
</t>
        </r>
      </text>
    </comment>
    <comment ref="N66" authorId="1">
      <text>
        <r>
          <rPr>
            <b/>
            <sz val="8"/>
            <rFont val="Arial"/>
            <family val="2"/>
          </rPr>
          <t>Flange Weight</t>
        </r>
      </text>
    </comment>
    <comment ref="N21" authorId="1">
      <text>
        <r>
          <rPr>
            <b/>
            <sz val="8"/>
            <rFont val="Arial"/>
            <family val="2"/>
          </rPr>
          <t>Flange Weight</t>
        </r>
      </text>
    </comment>
    <comment ref="N43" authorId="1">
      <text>
        <r>
          <rPr>
            <b/>
            <sz val="8"/>
            <rFont val="Arial"/>
            <family val="2"/>
          </rPr>
          <t>Flange Weight</t>
        </r>
      </text>
    </comment>
    <comment ref="N44" authorId="0">
      <text>
        <r>
          <rPr>
            <b/>
            <sz val="8"/>
            <rFont val="Arial"/>
            <family val="2"/>
          </rPr>
          <t xml:space="preserve">Blind Flange Weight
</t>
        </r>
      </text>
    </comment>
  </commentList>
</comments>
</file>

<file path=xl/comments6.xml><?xml version="1.0" encoding="utf-8"?>
<comments xmlns="http://schemas.openxmlformats.org/spreadsheetml/2006/main">
  <authors>
    <author>NTES</author>
  </authors>
  <commentList>
    <comment ref="AH14" authorId="0">
      <text>
        <r>
          <rPr>
            <b/>
            <sz val="8"/>
            <rFont val="Arial"/>
            <family val="2"/>
          </rPr>
          <t>Cell is filled !</t>
        </r>
      </text>
    </comment>
    <comment ref="AD3" authorId="0">
      <text>
        <r>
          <rPr>
            <b/>
            <sz val="8"/>
            <rFont val="Arial"/>
            <family val="2"/>
          </rPr>
          <t>Cell is filled !</t>
        </r>
      </text>
    </comment>
  </commentList>
</comments>
</file>

<file path=xl/comments7.xml><?xml version="1.0" encoding="utf-8"?>
<comments xmlns="http://schemas.openxmlformats.org/spreadsheetml/2006/main">
  <authors>
    <author>NTES</author>
  </authors>
  <commentList>
    <comment ref="AD3" authorId="0">
      <text>
        <r>
          <rPr>
            <b/>
            <sz val="8"/>
            <rFont val="Arial"/>
            <family val="2"/>
          </rPr>
          <t>Cell is filled !</t>
        </r>
      </text>
    </comment>
  </commentList>
</comments>
</file>

<file path=xl/sharedStrings.xml><?xml version="1.0" encoding="utf-8"?>
<sst xmlns="http://schemas.openxmlformats.org/spreadsheetml/2006/main" count="954" uniqueCount="597">
  <si>
    <t>L</t>
  </si>
  <si>
    <r>
      <t>m2</t>
    </r>
    <r>
      <rPr>
        <sz val="8"/>
        <rFont val="Arial"/>
        <family val="2"/>
      </rPr>
      <t xml:space="preserve"> &gt;</t>
    </r>
  </si>
  <si>
    <r>
      <t>m2</t>
    </r>
    <r>
      <rPr>
        <sz val="8"/>
        <rFont val="Arial"/>
        <family val="2"/>
      </rPr>
      <t xml:space="preserve"> &gt;</t>
    </r>
  </si>
  <si>
    <t>ND</t>
  </si>
  <si>
    <t>Dia.</t>
  </si>
  <si>
    <r>
      <t>Bolt</t>
    </r>
    <r>
      <rPr>
        <sz val="8"/>
        <rFont val="Arial"/>
        <family val="2"/>
      </rPr>
      <t xml:space="preserve"> &gt;</t>
    </r>
  </si>
  <si>
    <t>Lnut</t>
  </si>
  <si>
    <t>Davit</t>
  </si>
  <si>
    <t>&lt;-</t>
  </si>
  <si>
    <r>
      <t xml:space="preserve"> x Plate </t>
    </r>
    <r>
      <rPr>
        <sz val="8"/>
        <color indexed="10"/>
        <rFont val="돋움"/>
        <family val="3"/>
      </rPr>
      <t>단가</t>
    </r>
    <r>
      <rPr>
        <sz val="8"/>
        <color indexed="10"/>
        <rFont val="Arial"/>
        <family val="2"/>
      </rPr>
      <t xml:space="preserve"> </t>
    </r>
  </si>
  <si>
    <t>16"</t>
  </si>
  <si>
    <t>400 A</t>
  </si>
  <si>
    <t>18"</t>
  </si>
  <si>
    <t>20"</t>
  </si>
  <si>
    <t>22"</t>
  </si>
  <si>
    <t>24"</t>
  </si>
  <si>
    <r>
      <t xml:space="preserve">Davit </t>
    </r>
    <r>
      <rPr>
        <sz val="8"/>
        <color indexed="10"/>
        <rFont val="돋움"/>
        <family val="3"/>
      </rPr>
      <t>개당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돋움"/>
        <family val="3"/>
      </rPr>
      <t>단가</t>
    </r>
  </si>
  <si>
    <t>450 A</t>
  </si>
  <si>
    <t>500 A</t>
  </si>
  <si>
    <t>550 A</t>
  </si>
  <si>
    <t>600 A</t>
  </si>
  <si>
    <r>
      <t xml:space="preserve"> x Plate </t>
    </r>
    <r>
      <rPr>
        <u val="single"/>
        <sz val="8"/>
        <color indexed="10"/>
        <rFont val="돋움"/>
        <family val="3"/>
      </rPr>
      <t>단가</t>
    </r>
    <r>
      <rPr>
        <u val="single"/>
        <sz val="8"/>
        <color indexed="10"/>
        <rFont val="Arial"/>
        <family val="2"/>
      </rPr>
      <t xml:space="preserve"> </t>
    </r>
  </si>
  <si>
    <t>&lt;-</t>
  </si>
  <si>
    <t>L-seam</t>
  </si>
  <si>
    <t>to Cover</t>
  </si>
  <si>
    <t>to TS or Flange</t>
  </si>
  <si>
    <t>/</t>
  </si>
  <si>
    <t xml:space="preserve"> P.W.H.T.</t>
  </si>
  <si>
    <t>Expanded</t>
  </si>
  <si>
    <t>Expanded + Seal W.</t>
  </si>
  <si>
    <t>Strength Welded</t>
  </si>
  <si>
    <t>Plate Size</t>
  </si>
  <si>
    <t>x</t>
  </si>
  <si>
    <t xml:space="preserve"> Machining</t>
  </si>
  <si>
    <r>
      <t>원</t>
    </r>
    <r>
      <rPr>
        <sz val="8"/>
        <rFont val="Arial"/>
        <family val="2"/>
      </rPr>
      <t xml:space="preserve"> / kg</t>
    </r>
  </si>
  <si>
    <t>C.S.</t>
  </si>
  <si>
    <t>Wt.</t>
  </si>
  <si>
    <t>Alloy</t>
  </si>
  <si>
    <r>
      <t>원</t>
    </r>
    <r>
      <rPr>
        <sz val="8"/>
        <rFont val="Arial"/>
        <family val="2"/>
      </rPr>
      <t xml:space="preserve"> / </t>
    </r>
    <r>
      <rPr>
        <sz val="8"/>
        <rFont val="돋움"/>
        <family val="3"/>
      </rPr>
      <t>두께</t>
    </r>
  </si>
  <si>
    <r>
      <t>원</t>
    </r>
    <r>
      <rPr>
        <sz val="8"/>
        <rFont val="Arial"/>
        <family val="2"/>
      </rPr>
      <t xml:space="preserve"> / ea</t>
    </r>
  </si>
  <si>
    <t>Tube OD</t>
  </si>
  <si>
    <t>Mat.</t>
  </si>
  <si>
    <t>Seal W.</t>
  </si>
  <si>
    <t>STR. W.</t>
  </si>
  <si>
    <t>Joint</t>
  </si>
  <si>
    <t>SAW</t>
  </si>
  <si>
    <t>Tube OD &gt;</t>
  </si>
  <si>
    <r>
      <t xml:space="preserve">up to Plate </t>
    </r>
    <r>
      <rPr>
        <sz val="8"/>
        <rFont val="돋움"/>
        <family val="3"/>
      </rPr>
      <t>두께</t>
    </r>
    <r>
      <rPr>
        <sz val="8"/>
        <rFont val="Arial"/>
        <family val="2"/>
      </rPr>
      <t xml:space="preserve"> &gt;</t>
    </r>
  </si>
  <si>
    <t>SAW</t>
  </si>
  <si>
    <t>FCAW</t>
  </si>
  <si>
    <t>t</t>
  </si>
  <si>
    <t>m</t>
  </si>
  <si>
    <t>Shell</t>
  </si>
  <si>
    <t>~</t>
  </si>
  <si>
    <t>Wt.</t>
  </si>
  <si>
    <t xml:space="preserve"> Cover</t>
  </si>
  <si>
    <t xml:space="preserve">Channel </t>
  </si>
  <si>
    <t xml:space="preserve">Shell </t>
  </si>
  <si>
    <t>kg</t>
  </si>
  <si>
    <t>from TD Program</t>
  </si>
  <si>
    <t>ID</t>
  </si>
  <si>
    <t>&lt; TL - WL</t>
  </si>
  <si>
    <t>길이 / 장</t>
  </si>
  <si>
    <t>Rear</t>
  </si>
  <si>
    <t>운반비</t>
  </si>
  <si>
    <t>번</t>
  </si>
  <si>
    <t>+</t>
  </si>
  <si>
    <t xml:space="preserve"> PSV</t>
  </si>
  <si>
    <t>Tube</t>
  </si>
  <si>
    <t xml:space="preserve"> Lifting Lug</t>
  </si>
  <si>
    <r>
      <t xml:space="preserve"> Tubeside</t>
    </r>
    <r>
      <rPr>
        <b/>
        <u val="single"/>
        <sz val="8"/>
        <rFont val="Arial"/>
        <family val="2"/>
      </rPr>
      <t xml:space="preserve"> Protection</t>
    </r>
  </si>
  <si>
    <r>
      <t xml:space="preserve"> </t>
    </r>
    <r>
      <rPr>
        <b/>
        <u val="single"/>
        <sz val="8"/>
        <rFont val="Arial"/>
        <family val="2"/>
      </rPr>
      <t>Manhole</t>
    </r>
  </si>
  <si>
    <t xml:space="preserve"> Side</t>
  </si>
  <si>
    <t>Flanged</t>
  </si>
  <si>
    <r>
      <t xml:space="preserve">Tube </t>
    </r>
    <r>
      <rPr>
        <sz val="8"/>
        <rFont val="돋움"/>
        <family val="3"/>
      </rPr>
      <t>조립</t>
    </r>
  </si>
  <si>
    <t>ea / hr</t>
  </si>
  <si>
    <t>Tube Lgt</t>
  </si>
  <si>
    <r>
      <t xml:space="preserve">This guide is intended to outline a program to </t>
    </r>
    <r>
      <rPr>
        <b/>
        <sz val="8"/>
        <rFont val="Arial"/>
        <family val="2"/>
      </rPr>
      <t>estimate PV, H/E, etc.</t>
    </r>
  </si>
  <si>
    <t>Shell Side</t>
  </si>
  <si>
    <r>
      <t xml:space="preserve"> Dessicant ( </t>
    </r>
    <r>
      <rPr>
        <sz val="8"/>
        <rFont val="돋움"/>
        <family val="3"/>
      </rPr>
      <t>건조제</t>
    </r>
    <r>
      <rPr>
        <sz val="8"/>
        <rFont val="Arial"/>
        <family val="2"/>
      </rPr>
      <t xml:space="preserve"> )</t>
    </r>
  </si>
  <si>
    <t>봉</t>
  </si>
  <si>
    <t>/</t>
  </si>
  <si>
    <t>S P A R E     P A R T</t>
  </si>
  <si>
    <t>Wt, kg</t>
  </si>
  <si>
    <t>E R E C T I O N     &amp;     C O M M I S S I O N I N G</t>
  </si>
  <si>
    <t>B &amp; N</t>
  </si>
  <si>
    <t>Tube Plug</t>
  </si>
  <si>
    <t>min.</t>
  </si>
  <si>
    <t>T W O ( 2 )     Y E A R S</t>
  </si>
  <si>
    <t xml:space="preserve"> Gasket</t>
  </si>
  <si>
    <t>Tubesheet</t>
  </si>
  <si>
    <t>Channel Cover</t>
  </si>
  <si>
    <t>Rear ~</t>
  </si>
  <si>
    <t>Shell Side Manhole</t>
  </si>
  <si>
    <t>Tube Side Manhole</t>
  </si>
  <si>
    <t xml:space="preserve"> B &amp; N</t>
  </si>
  <si>
    <t xml:space="preserve"> Tube Plug</t>
  </si>
  <si>
    <t>%</t>
  </si>
  <si>
    <t>sets</t>
  </si>
  <si>
    <t>Installed</t>
  </si>
  <si>
    <t>Spare</t>
  </si>
  <si>
    <t>Specification</t>
  </si>
  <si>
    <r>
      <t xml:space="preserve">Painting </t>
    </r>
    <r>
      <rPr>
        <u val="single"/>
        <sz val="8"/>
        <rFont val="돋움"/>
        <family val="3"/>
      </rPr>
      <t>단가</t>
    </r>
  </si>
  <si>
    <t>kg</t>
  </si>
  <si>
    <t xml:space="preserve"> Touch-up Paint</t>
  </si>
  <si>
    <t>Q'ty</t>
  </si>
  <si>
    <t>Baffle</t>
  </si>
  <si>
    <t>Hole</t>
  </si>
  <si>
    <t>x</t>
  </si>
  <si>
    <t>x</t>
  </si>
  <si>
    <t>ea</t>
  </si>
  <si>
    <r>
      <t>용접</t>
    </r>
    <r>
      <rPr>
        <sz val="8"/>
        <rFont val="Arial"/>
        <family val="2"/>
      </rPr>
      <t xml:space="preserve"> hr / m &gt;</t>
    </r>
  </si>
  <si>
    <t>Cutting m / hr &gt;</t>
  </si>
  <si>
    <t>Flg to NZ</t>
  </si>
  <si>
    <t>NZ to Shell</t>
  </si>
  <si>
    <r>
      <t xml:space="preserve">Nozzle </t>
    </r>
    <r>
      <rPr>
        <sz val="8"/>
        <rFont val="돋움"/>
        <family val="3"/>
      </rPr>
      <t>제작</t>
    </r>
  </si>
  <si>
    <r>
      <t xml:space="preserve">Flange Welding </t>
    </r>
    <r>
      <rPr>
        <sz val="8"/>
        <rFont val="돋움"/>
        <family val="3"/>
      </rPr>
      <t>은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미포함</t>
    </r>
    <r>
      <rPr>
        <sz val="8"/>
        <rFont val="Arial"/>
        <family val="2"/>
      </rPr>
      <t>.</t>
    </r>
  </si>
  <si>
    <r>
      <t xml:space="preserve">Flange Welding </t>
    </r>
    <r>
      <rPr>
        <sz val="8"/>
        <rFont val="돋움"/>
        <family val="3"/>
      </rPr>
      <t>은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용접에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포함</t>
    </r>
    <r>
      <rPr>
        <sz val="8"/>
        <rFont val="Arial"/>
        <family val="2"/>
      </rPr>
      <t>.</t>
    </r>
  </si>
  <si>
    <t>Q'ty&gt;</t>
  </si>
  <si>
    <r>
      <t xml:space="preserve">12" </t>
    </r>
    <r>
      <rPr>
        <u val="single"/>
        <sz val="8"/>
        <rFont val="돋움"/>
        <family val="3"/>
      </rPr>
      <t>이상</t>
    </r>
  </si>
  <si>
    <t>이하</t>
  </si>
  <si>
    <t>Pad</t>
  </si>
  <si>
    <t>ea</t>
  </si>
  <si>
    <t>Pad Welding</t>
  </si>
  <si>
    <t>MT</t>
  </si>
  <si>
    <t>PT</t>
  </si>
  <si>
    <t>Tube-to-Tubesheet Welding</t>
  </si>
  <si>
    <t>Tube-to-Header Welding</t>
  </si>
  <si>
    <t>Casing Welding</t>
  </si>
  <si>
    <t>Vent &amp; Drain Nozzle</t>
  </si>
  <si>
    <r>
      <t xml:space="preserve"> ASME Stamping </t>
    </r>
    <r>
      <rPr>
        <sz val="8"/>
        <color indexed="10"/>
        <rFont val="돋움"/>
        <family val="3"/>
      </rPr>
      <t>할증</t>
    </r>
  </si>
  <si>
    <t>%</t>
  </si>
  <si>
    <r>
      <t xml:space="preserve"> </t>
    </r>
    <r>
      <rPr>
        <sz val="8"/>
        <rFont val="돋움"/>
        <family val="3"/>
      </rPr>
      <t>제작</t>
    </r>
  </si>
  <si>
    <t>up to Wt. ton &gt;</t>
  </si>
  <si>
    <r>
      <t>제작</t>
    </r>
    <r>
      <rPr>
        <sz val="8"/>
        <rFont val="Arial"/>
        <family val="2"/>
      </rPr>
      <t xml:space="preserve"> MD / ton &gt;</t>
    </r>
  </si>
  <si>
    <t>ton</t>
  </si>
  <si>
    <r>
      <t xml:space="preserve"> </t>
    </r>
    <r>
      <rPr>
        <sz val="8"/>
        <rFont val="돋움"/>
        <family val="3"/>
      </rPr>
      <t>용접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등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소모자재</t>
    </r>
  </si>
  <si>
    <t>Bending</t>
  </si>
  <si>
    <t>Cone</t>
  </si>
  <si>
    <t>2:1 Ellipsoidal</t>
  </si>
  <si>
    <t>10% Dished</t>
  </si>
  <si>
    <t>Hemi-spherical</t>
  </si>
  <si>
    <t>/</t>
  </si>
  <si>
    <t>Head Forming</t>
  </si>
  <si>
    <t>Plate Bending</t>
  </si>
  <si>
    <r>
      <t xml:space="preserve"> </t>
    </r>
    <r>
      <rPr>
        <sz val="8"/>
        <rFont val="돋움"/>
        <family val="3"/>
      </rPr>
      <t>용젖</t>
    </r>
  </si>
  <si>
    <t xml:space="preserve"> CT &amp; Grinding</t>
  </si>
  <si>
    <t xml:space="preserve"> Shell Side</t>
  </si>
  <si>
    <t>Tube Side</t>
  </si>
  <si>
    <r>
      <t xml:space="preserve"> Insulation </t>
    </r>
    <r>
      <rPr>
        <sz val="8"/>
        <rFont val="돋움"/>
        <family val="3"/>
      </rPr>
      <t>작업</t>
    </r>
  </si>
  <si>
    <r>
      <t xml:space="preserve"> </t>
    </r>
    <r>
      <rPr>
        <sz val="8"/>
        <rFont val="돋움"/>
        <family val="3"/>
      </rPr>
      <t>운반비</t>
    </r>
  </si>
  <si>
    <t>원</t>
  </si>
  <si>
    <t>=</t>
  </si>
  <si>
    <t>Nozzle on Duct</t>
  </si>
  <si>
    <r>
      <t xml:space="preserve">Flange </t>
    </r>
    <r>
      <rPr>
        <sz val="8"/>
        <rFont val="돋움"/>
        <family val="3"/>
      </rPr>
      <t>가</t>
    </r>
    <r>
      <rPr>
        <sz val="8"/>
        <rFont val="Arial"/>
        <family val="2"/>
      </rPr>
      <t xml:space="preserve"> Vendor STD </t>
    </r>
    <r>
      <rPr>
        <sz val="8"/>
        <rFont val="돋움"/>
        <family val="3"/>
      </rPr>
      <t>인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경우</t>
    </r>
    <r>
      <rPr>
        <sz val="8"/>
        <rFont val="Arial"/>
        <family val="2"/>
      </rPr>
      <t xml:space="preserve"> Counter Flange / Gasket / B&amp;N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공급함</t>
    </r>
    <r>
      <rPr>
        <sz val="8"/>
        <rFont val="Arial"/>
        <family val="2"/>
      </rPr>
      <t>.</t>
    </r>
  </si>
  <si>
    <t>Revision</t>
  </si>
  <si>
    <t>Data Files</t>
  </si>
  <si>
    <t>Material Index, Flange Data, Modulus of Elasticity, …...</t>
  </si>
  <si>
    <t>Data for Pipe, Saddle, etc.</t>
  </si>
  <si>
    <t>가공비</t>
  </si>
  <si>
    <t>제작비</t>
  </si>
  <si>
    <t>Doc. No.</t>
  </si>
  <si>
    <t>Date</t>
  </si>
  <si>
    <t>Introduction</t>
  </si>
  <si>
    <t>Sheet No.</t>
  </si>
  <si>
    <t>of</t>
  </si>
  <si>
    <t>References</t>
  </si>
  <si>
    <t>The program is based on the following, which shall be referred to for further understanding.</t>
  </si>
  <si>
    <t>Revision History</t>
  </si>
  <si>
    <t>Originally Prepared.</t>
  </si>
  <si>
    <t>Program Architecture</t>
  </si>
  <si>
    <t xml:space="preserve"> Program  User  Guide  :</t>
  </si>
  <si>
    <t>E S T I M A T E     o f     P V,   H / E,   W H B,   …...</t>
  </si>
  <si>
    <r>
      <t>견적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관련</t>
    </r>
  </si>
  <si>
    <r>
      <t>"</t>
    </r>
    <r>
      <rPr>
        <b/>
        <sz val="8"/>
        <rFont val="Arial"/>
        <family val="2"/>
      </rPr>
      <t xml:space="preserve"> materials ASTM </t>
    </r>
    <r>
      <rPr>
        <sz val="8"/>
        <rFont val="Arial"/>
        <family val="2"/>
      </rPr>
      <t>"</t>
    </r>
  </si>
  <si>
    <r>
      <t xml:space="preserve">Stress Values of  </t>
    </r>
    <r>
      <rPr>
        <b/>
        <sz val="8"/>
        <rFont val="Arial"/>
        <family val="2"/>
      </rPr>
      <t>ASTM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>ASME</t>
    </r>
    <r>
      <rPr>
        <sz val="8"/>
        <rFont val="Arial"/>
        <family val="2"/>
      </rPr>
      <t xml:space="preserve">  materials</t>
    </r>
  </si>
  <si>
    <r>
      <t>"</t>
    </r>
    <r>
      <rPr>
        <b/>
        <sz val="8"/>
        <rFont val="Arial"/>
        <family val="2"/>
      </rPr>
      <t xml:space="preserve"> materials common </t>
    </r>
    <r>
      <rPr>
        <sz val="8"/>
        <rFont val="Arial"/>
        <family val="2"/>
      </rPr>
      <t>"</t>
    </r>
  </si>
  <si>
    <r>
      <t>"</t>
    </r>
    <r>
      <rPr>
        <b/>
        <sz val="8"/>
        <rFont val="Arial"/>
        <family val="2"/>
      </rPr>
      <t xml:space="preserve"> materials JIS</t>
    </r>
    <r>
      <rPr>
        <sz val="8"/>
        <rFont val="Arial"/>
        <family val="2"/>
      </rPr>
      <t xml:space="preserve"> "</t>
    </r>
  </si>
  <si>
    <r>
      <t xml:space="preserve">Stress Values of  </t>
    </r>
    <r>
      <rPr>
        <b/>
        <sz val="8"/>
        <rFont val="Arial"/>
        <family val="2"/>
      </rPr>
      <t>JIS</t>
    </r>
    <r>
      <rPr>
        <sz val="8"/>
        <rFont val="Arial"/>
        <family val="2"/>
      </rPr>
      <t xml:space="preserve">  materials</t>
    </r>
  </si>
  <si>
    <r>
      <t>"</t>
    </r>
    <r>
      <rPr>
        <b/>
        <sz val="8"/>
        <rFont val="Arial"/>
        <family val="2"/>
      </rPr>
      <t xml:space="preserve"> materials KS</t>
    </r>
    <r>
      <rPr>
        <sz val="8"/>
        <rFont val="Arial"/>
        <family val="2"/>
      </rPr>
      <t xml:space="preserve"> "</t>
    </r>
  </si>
  <si>
    <r>
      <t xml:space="preserve">Stress Values of  </t>
    </r>
    <r>
      <rPr>
        <b/>
        <sz val="8"/>
        <rFont val="Arial"/>
        <family val="2"/>
      </rPr>
      <t>KS</t>
    </r>
    <r>
      <rPr>
        <sz val="8"/>
        <rFont val="Arial"/>
        <family val="2"/>
      </rPr>
      <t xml:space="preserve">  materials</t>
    </r>
  </si>
  <si>
    <r>
      <t>"</t>
    </r>
    <r>
      <rPr>
        <b/>
        <sz val="8"/>
        <rFont val="Arial"/>
        <family val="2"/>
      </rPr>
      <t xml:space="preserve"> materials standard design</t>
    </r>
    <r>
      <rPr>
        <sz val="8"/>
        <rFont val="Arial"/>
        <family val="2"/>
      </rPr>
      <t xml:space="preserve"> "</t>
    </r>
  </si>
  <si>
    <t>2019.   9.   1.</t>
  </si>
  <si>
    <r>
      <t>"</t>
    </r>
    <r>
      <rPr>
        <b/>
        <sz val="8"/>
        <rFont val="Arial"/>
        <family val="2"/>
      </rPr>
      <t xml:space="preserve"> materials </t>
    </r>
    <r>
      <rPr>
        <b/>
        <sz val="8"/>
        <rFont val="돋움"/>
        <family val="3"/>
      </rPr>
      <t>단가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"</t>
    </r>
  </si>
  <si>
    <t>Cost of Raw Materials, Flanges, Gaskets, Nozzle MFG, etc.</t>
  </si>
  <si>
    <t>T I T L E</t>
  </si>
  <si>
    <t xml:space="preserve"> DDERS</t>
  </si>
  <si>
    <r>
      <t>㈜대동이알에스</t>
    </r>
    <r>
      <rPr>
        <sz val="8"/>
        <rFont val="Arial"/>
        <family val="2"/>
      </rPr>
      <t xml:space="preserve"> </t>
    </r>
  </si>
  <si>
    <t xml:space="preserve"> DDERS</t>
  </si>
  <si>
    <r>
      <t>㈜대동이알에스</t>
    </r>
    <r>
      <rPr>
        <sz val="8"/>
        <rFont val="Arial"/>
        <family val="2"/>
      </rPr>
      <t xml:space="preserve"> </t>
    </r>
  </si>
  <si>
    <r>
      <t>견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2"/>
        <rFont val="돋움"/>
        <family val="3"/>
      </rPr>
      <t>적</t>
    </r>
    <r>
      <rPr>
        <b/>
        <sz val="14"/>
        <color indexed="12"/>
        <rFont val="Arial"/>
        <family val="2"/>
      </rPr>
      <t xml:space="preserve">   B A S I S</t>
    </r>
  </si>
  <si>
    <t>EST - PUG - 100</t>
  </si>
  <si>
    <t>EST - BAS - 100</t>
  </si>
  <si>
    <t>Raw Materials</t>
  </si>
  <si>
    <t>검사비</t>
  </si>
  <si>
    <t>Basis are provided / listed as below to apply consistently to reasonable estimations.</t>
  </si>
  <si>
    <r>
      <t xml:space="preserve">Reinforcing Pad </t>
    </r>
    <r>
      <rPr>
        <sz val="8"/>
        <rFont val="돋움"/>
        <family val="3"/>
      </rPr>
      <t>는</t>
    </r>
    <r>
      <rPr>
        <sz val="8"/>
        <rFont val="Arial"/>
        <family val="2"/>
      </rPr>
      <t xml:space="preserve"> Pipe Size 2" </t>
    </r>
    <r>
      <rPr>
        <sz val="8"/>
        <rFont val="돋움"/>
        <family val="3"/>
      </rPr>
      <t>이상에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적용하고</t>
    </r>
    <r>
      <rPr>
        <sz val="8"/>
        <rFont val="Arial"/>
        <family val="2"/>
      </rPr>
      <t xml:space="preserve">, Pad OD = Pipe OD x 2 </t>
    </r>
    <r>
      <rPr>
        <sz val="8"/>
        <rFont val="돋움"/>
        <family val="3"/>
      </rPr>
      <t>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함</t>
    </r>
    <r>
      <rPr>
        <sz val="8"/>
        <rFont val="Arial"/>
        <family val="2"/>
      </rPr>
      <t>.</t>
    </r>
  </si>
  <si>
    <r>
      <t xml:space="preserve"> </t>
    </r>
    <r>
      <rPr>
        <sz val="8"/>
        <rFont val="돋움"/>
        <family val="3"/>
      </rPr>
      <t>자재</t>
    </r>
    <r>
      <rPr>
        <sz val="8"/>
        <rFont val="Arial"/>
        <family val="2"/>
      </rPr>
      <t xml:space="preserve"> /  </t>
    </r>
    <r>
      <rPr>
        <sz val="8"/>
        <rFont val="돋움"/>
        <family val="3"/>
      </rPr>
      <t>용접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검사</t>
    </r>
  </si>
  <si>
    <t xml:space="preserve"> Impact Test</t>
  </si>
  <si>
    <t xml:space="preserve"> Hardness Test</t>
  </si>
  <si>
    <t>식</t>
  </si>
  <si>
    <r>
      <t xml:space="preserve"> </t>
    </r>
    <r>
      <rPr>
        <sz val="7.5"/>
        <rFont val="돋움"/>
        <family val="3"/>
      </rPr>
      <t>용접</t>
    </r>
    <r>
      <rPr>
        <sz val="7.5"/>
        <rFont val="Arial"/>
        <family val="2"/>
      </rPr>
      <t xml:space="preserve"> </t>
    </r>
    <r>
      <rPr>
        <sz val="7.5"/>
        <rFont val="돋움"/>
        <family val="3"/>
      </rPr>
      <t>검사</t>
    </r>
  </si>
  <si>
    <r>
      <t xml:space="preserve"> </t>
    </r>
    <r>
      <rPr>
        <sz val="7.5"/>
        <rFont val="돋움"/>
        <family val="3"/>
      </rPr>
      <t>구조</t>
    </r>
    <r>
      <rPr>
        <sz val="7.5"/>
        <rFont val="Arial"/>
        <family val="2"/>
      </rPr>
      <t xml:space="preserve"> </t>
    </r>
    <r>
      <rPr>
        <sz val="7.5"/>
        <rFont val="돋움"/>
        <family val="3"/>
      </rPr>
      <t>검사</t>
    </r>
  </si>
  <si>
    <r>
      <t xml:space="preserve"> Bolting </t>
    </r>
    <r>
      <rPr>
        <sz val="8"/>
        <rFont val="돋움"/>
        <family val="3"/>
      </rPr>
      <t>작업</t>
    </r>
  </si>
  <si>
    <t>Tubesheet</t>
  </si>
  <si>
    <t>MD</t>
  </si>
  <si>
    <t>M/H</t>
  </si>
  <si>
    <r>
      <t>원</t>
    </r>
    <r>
      <rPr>
        <u val="single"/>
        <sz val="8"/>
        <rFont val="Arial"/>
        <family val="2"/>
      </rPr>
      <t xml:space="preserve"> / m</t>
    </r>
  </si>
  <si>
    <r>
      <t>원</t>
    </r>
    <r>
      <rPr>
        <u val="single"/>
        <sz val="8"/>
        <rFont val="Arial"/>
        <family val="2"/>
      </rPr>
      <t xml:space="preserve"> / point</t>
    </r>
  </si>
  <si>
    <t>m</t>
  </si>
  <si>
    <t>귀중</t>
  </si>
  <si>
    <t>㈜대동이알에스</t>
  </si>
  <si>
    <t>Daedong E.R.S. Co., Ltd.</t>
  </si>
  <si>
    <t>:</t>
  </si>
  <si>
    <t>TEL</t>
  </si>
  <si>
    <t>FAX</t>
  </si>
  <si>
    <r>
      <t>견</t>
    </r>
    <r>
      <rPr>
        <b/>
        <sz val="14"/>
        <rFont val="Arial"/>
        <family val="2"/>
      </rPr>
      <t xml:space="preserve"> </t>
    </r>
    <r>
      <rPr>
        <b/>
        <sz val="14"/>
        <rFont val="바탕체"/>
        <family val="1"/>
      </rPr>
      <t>적</t>
    </r>
    <r>
      <rPr>
        <b/>
        <sz val="14"/>
        <rFont val="Arial"/>
        <family val="2"/>
      </rPr>
      <t xml:space="preserve"> </t>
    </r>
    <r>
      <rPr>
        <b/>
        <sz val="14"/>
        <rFont val="바탕체"/>
        <family val="1"/>
      </rPr>
      <t>서</t>
    </r>
  </si>
  <si>
    <t>031 - 446 - 2166</t>
  </si>
  <si>
    <t>031 - 447 - 2166</t>
  </si>
  <si>
    <r>
      <t>경기도</t>
    </r>
    <r>
      <rPr>
        <sz val="9"/>
        <rFont val="Arial"/>
        <family val="2"/>
      </rPr>
      <t xml:space="preserve"> </t>
    </r>
    <r>
      <rPr>
        <sz val="9"/>
        <rFont val="바탕체"/>
        <family val="1"/>
      </rPr>
      <t>안양시</t>
    </r>
    <r>
      <rPr>
        <sz val="9"/>
        <rFont val="Arial"/>
        <family val="2"/>
      </rPr>
      <t xml:space="preserve"> </t>
    </r>
    <r>
      <rPr>
        <sz val="9"/>
        <rFont val="바탕체"/>
        <family val="1"/>
      </rPr>
      <t>만안구</t>
    </r>
    <r>
      <rPr>
        <sz val="9"/>
        <rFont val="Arial"/>
        <family val="2"/>
      </rPr>
      <t xml:space="preserve"> </t>
    </r>
    <r>
      <rPr>
        <sz val="9"/>
        <rFont val="바탕체"/>
        <family val="1"/>
      </rPr>
      <t>안양</t>
    </r>
    <r>
      <rPr>
        <sz val="9"/>
        <rFont val="Arial"/>
        <family val="2"/>
      </rPr>
      <t>6</t>
    </r>
    <r>
      <rPr>
        <sz val="9"/>
        <rFont val="바탕체"/>
        <family val="1"/>
      </rPr>
      <t>동</t>
    </r>
    <r>
      <rPr>
        <sz val="9"/>
        <rFont val="Arial"/>
        <family val="2"/>
      </rPr>
      <t xml:space="preserve"> 534</t>
    </r>
    <r>
      <rPr>
        <sz val="9"/>
        <rFont val="바탕체"/>
        <family val="1"/>
      </rPr>
      <t>번지</t>
    </r>
  </si>
  <si>
    <r>
      <t>엘리제빌리지</t>
    </r>
    <r>
      <rPr>
        <sz val="9"/>
        <rFont val="Arial"/>
        <family val="2"/>
      </rPr>
      <t xml:space="preserve"> 208</t>
    </r>
    <r>
      <rPr>
        <sz val="9"/>
        <rFont val="바탕체"/>
        <family val="1"/>
      </rPr>
      <t>호</t>
    </r>
  </si>
  <si>
    <t>E-mail</t>
  </si>
  <si>
    <t>Site</t>
  </si>
  <si>
    <t>mail@dders.co.kr</t>
  </si>
  <si>
    <t>www.dders.co</t>
  </si>
  <si>
    <r>
      <t>아래와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같이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견적합니다</t>
    </r>
    <r>
      <rPr>
        <sz val="9"/>
        <rFont val="Arial"/>
        <family val="2"/>
      </rPr>
      <t>.</t>
    </r>
  </si>
  <si>
    <r>
      <t>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자</t>
    </r>
  </si>
  <si>
    <r>
      <t>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효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간</t>
    </r>
  </si>
  <si>
    <r>
      <t>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기</t>
    </r>
  </si>
  <si>
    <r>
      <t>인도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장소</t>
    </r>
  </si>
  <si>
    <t>일</t>
  </si>
  <si>
    <t>발주일로부터</t>
  </si>
  <si>
    <r>
      <t>지정장소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상차도</t>
    </r>
  </si>
  <si>
    <t>Project</t>
  </si>
  <si>
    <t>Item</t>
  </si>
  <si>
    <r>
      <t>견적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번호</t>
    </r>
  </si>
  <si>
    <r>
      <t>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당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자</t>
    </r>
  </si>
  <si>
    <t>No.</t>
  </si>
  <si>
    <t>Description</t>
  </si>
  <si>
    <t>No. of Units</t>
  </si>
  <si>
    <t>Unit Price</t>
  </si>
  <si>
    <t>Total Price</t>
  </si>
  <si>
    <t>Total ( V.A.T. excluded )</t>
  </si>
  <si>
    <t>Terms and Conditions</t>
  </si>
  <si>
    <t>선급금</t>
  </si>
  <si>
    <r>
      <t>중간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기성</t>
    </r>
  </si>
  <si>
    <t>납품시</t>
  </si>
  <si>
    <t>%</t>
  </si>
  <si>
    <t>Remarks</t>
  </si>
  <si>
    <t>1.</t>
  </si>
  <si>
    <t>2.</t>
  </si>
  <si>
    <t>3.</t>
  </si>
  <si>
    <t>4.</t>
  </si>
  <si>
    <t>5.</t>
  </si>
  <si>
    <t>6.</t>
  </si>
  <si>
    <t>7.</t>
  </si>
  <si>
    <r>
      <t>지불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방법</t>
    </r>
  </si>
  <si>
    <r>
      <t>정기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지불</t>
    </r>
  </si>
  <si>
    <t>Total</t>
  </si>
  <si>
    <t>Set(s)</t>
  </si>
  <si>
    <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부</t>
    </r>
    <r>
      <rPr>
        <b/>
        <sz val="14"/>
        <rFont val="Arial"/>
        <family val="2"/>
      </rPr>
      <t xml:space="preserve">   </t>
    </r>
    <r>
      <rPr>
        <b/>
        <sz val="14"/>
        <rFont val="돋움"/>
        <family val="3"/>
      </rPr>
      <t>견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적</t>
    </r>
  </si>
  <si>
    <r>
      <t>상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  </t>
    </r>
    <r>
      <rPr>
        <b/>
        <sz val="14"/>
        <rFont val="돋움"/>
        <family val="3"/>
      </rPr>
      <t>견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적</t>
    </r>
  </si>
  <si>
    <t xml:space="preserve"> Project</t>
  </si>
  <si>
    <t xml:space="preserve"> Client</t>
  </si>
  <si>
    <t xml:space="preserve"> Contractor</t>
  </si>
  <si>
    <t xml:space="preserve"> Code</t>
  </si>
  <si>
    <t xml:space="preserve"> Service</t>
  </si>
  <si>
    <r>
      <t xml:space="preserve"> </t>
    </r>
    <r>
      <rPr>
        <sz val="8"/>
        <rFont val="돋움"/>
        <family val="3"/>
      </rPr>
      <t>견적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일자</t>
    </r>
  </si>
  <si>
    <r>
      <t xml:space="preserve"> </t>
    </r>
    <r>
      <rPr>
        <sz val="8"/>
        <rFont val="돋움"/>
        <family val="3"/>
      </rPr>
      <t>견적</t>
    </r>
    <r>
      <rPr>
        <sz val="8"/>
        <rFont val="Arial"/>
        <family val="2"/>
      </rPr>
      <t xml:space="preserve"> Rev.</t>
    </r>
  </si>
  <si>
    <r>
      <t xml:space="preserve"> </t>
    </r>
    <r>
      <rPr>
        <sz val="8"/>
        <rFont val="돋움"/>
        <family val="3"/>
      </rPr>
      <t>설계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일자</t>
    </r>
  </si>
  <si>
    <r>
      <t xml:space="preserve"> </t>
    </r>
    <r>
      <rPr>
        <sz val="8"/>
        <rFont val="돋움"/>
        <family val="3"/>
      </rPr>
      <t>설계</t>
    </r>
    <r>
      <rPr>
        <sz val="8"/>
        <rFont val="Arial"/>
        <family val="2"/>
      </rPr>
      <t xml:space="preserve"> Rev.</t>
    </r>
  </si>
  <si>
    <t xml:space="preserve"> Size</t>
  </si>
  <si>
    <t>Type</t>
  </si>
  <si>
    <t>Item No.</t>
  </si>
  <si>
    <t>No. of Units</t>
  </si>
  <si>
    <t>Shells / Unit</t>
  </si>
  <si>
    <t>set(s)</t>
  </si>
  <si>
    <t>ASME Stamp</t>
  </si>
  <si>
    <t>실중량</t>
  </si>
  <si>
    <t>Material</t>
  </si>
  <si>
    <t>Size</t>
  </si>
  <si>
    <t>Q'ty</t>
  </si>
  <si>
    <t>Weight, kg</t>
  </si>
  <si>
    <r>
      <t>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가</t>
    </r>
  </si>
  <si>
    <r>
      <t>금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액</t>
    </r>
  </si>
  <si>
    <t>OD</t>
  </si>
  <si>
    <t>t</t>
  </si>
  <si>
    <t>L</t>
  </si>
  <si>
    <t>Fw</t>
  </si>
  <si>
    <t>견적중랼</t>
  </si>
  <si>
    <t>S.G.</t>
  </si>
  <si>
    <t>File Name</t>
  </si>
  <si>
    <t>Sheet name</t>
  </si>
  <si>
    <t>SS</t>
  </si>
  <si>
    <t>2919.  9.  1.</t>
  </si>
  <si>
    <t xml:space="preserve"> HTA per Shell</t>
  </si>
  <si>
    <t>m2</t>
  </si>
  <si>
    <t xml:space="preserve"> Tube</t>
  </si>
  <si>
    <t>Sheet Name</t>
  </si>
  <si>
    <t>DI</t>
  </si>
  <si>
    <t>Designation</t>
  </si>
  <si>
    <t>S H E L L     S I D E</t>
  </si>
  <si>
    <t>T U B E     S I D E</t>
  </si>
  <si>
    <t xml:space="preserve"> Shell</t>
  </si>
  <si>
    <t>JE</t>
  </si>
  <si>
    <t>KU &gt;</t>
  </si>
  <si>
    <t>&lt; U</t>
  </si>
  <si>
    <t>ID</t>
  </si>
  <si>
    <r>
      <t>자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비</t>
    </r>
  </si>
  <si>
    <t>가 공 비</t>
  </si>
  <si>
    <t>제 작 비</t>
  </si>
  <si>
    <t>검 사 비</t>
  </si>
  <si>
    <t>포 장 비</t>
  </si>
  <si>
    <t>운 반 비</t>
  </si>
  <si>
    <t>설 계 비</t>
  </si>
  <si>
    <r>
      <t>소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계</t>
    </r>
  </si>
  <si>
    <t>소 계</t>
  </si>
  <si>
    <t xml:space="preserve"> N2 Charging</t>
  </si>
  <si>
    <r>
      <t xml:space="preserve"> </t>
    </r>
    <r>
      <rPr>
        <sz val="8"/>
        <rFont val="돋움"/>
        <family val="3"/>
      </rPr>
      <t>포장</t>
    </r>
  </si>
  <si>
    <t>m3</t>
  </si>
  <si>
    <t>ea</t>
  </si>
  <si>
    <t>합 계</t>
  </si>
  <si>
    <r>
      <t xml:space="preserve"> </t>
    </r>
    <r>
      <rPr>
        <sz val="8"/>
        <rFont val="돋움"/>
        <family val="3"/>
      </rPr>
      <t>현장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조립비</t>
    </r>
  </si>
  <si>
    <r>
      <t xml:space="preserve"> </t>
    </r>
    <r>
      <rPr>
        <sz val="8"/>
        <rFont val="돋움"/>
        <family val="3"/>
      </rPr>
      <t>크레인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사용료</t>
    </r>
  </si>
  <si>
    <r>
      <t xml:space="preserve"> </t>
    </r>
    <r>
      <rPr>
        <sz val="8"/>
        <rFont val="돋움"/>
        <family val="3"/>
      </rPr>
      <t>운반</t>
    </r>
  </si>
  <si>
    <t>식</t>
  </si>
  <si>
    <t>MD</t>
  </si>
  <si>
    <r>
      <t xml:space="preserve"> </t>
    </r>
    <r>
      <rPr>
        <sz val="8"/>
        <rFont val="돋움"/>
        <family val="3"/>
      </rPr>
      <t>열설계</t>
    </r>
  </si>
  <si>
    <r>
      <t xml:space="preserve"> </t>
    </r>
    <r>
      <rPr>
        <sz val="8"/>
        <rFont val="돋움"/>
        <family val="3"/>
      </rPr>
      <t>강도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계산</t>
    </r>
  </si>
  <si>
    <r>
      <t xml:space="preserve"> </t>
    </r>
    <r>
      <rPr>
        <sz val="8"/>
        <rFont val="돋움"/>
        <family val="3"/>
      </rPr>
      <t>도면</t>
    </r>
  </si>
  <si>
    <t xml:space="preserve"> Vendor Print</t>
  </si>
  <si>
    <t xml:space="preserve"> FEA</t>
  </si>
  <si>
    <t xml:space="preserve"> CFD</t>
  </si>
  <si>
    <t>일반관리비</t>
  </si>
  <si>
    <t>이 윤</t>
  </si>
  <si>
    <t>per Unit</t>
  </si>
  <si>
    <t>견적가</t>
  </si>
  <si>
    <t>per Shell</t>
  </si>
  <si>
    <r>
      <t>원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돋움"/>
        <family val="3"/>
      </rPr>
      <t>가</t>
    </r>
    <r>
      <rPr>
        <sz val="8"/>
        <color indexed="10"/>
        <rFont val="Arial"/>
        <family val="2"/>
      </rPr>
      <t xml:space="preserve">   </t>
    </r>
    <r>
      <rPr>
        <sz val="8"/>
        <color indexed="10"/>
        <rFont val="돋움"/>
        <family val="3"/>
      </rPr>
      <t>분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돋움"/>
        <family val="3"/>
      </rPr>
      <t>석</t>
    </r>
  </si>
  <si>
    <t>Sheet name</t>
  </si>
  <si>
    <t>Shells / Unit</t>
  </si>
  <si>
    <t>Line / Column No.</t>
  </si>
  <si>
    <t>m2</t>
  </si>
  <si>
    <t>kg</t>
  </si>
  <si>
    <t xml:space="preserve"> Type</t>
  </si>
  <si>
    <t xml:space="preserve"> Size</t>
  </si>
  <si>
    <t xml:space="preserve"> HTA</t>
  </si>
  <si>
    <t xml:space="preserve"> Weight</t>
  </si>
  <si>
    <t>set(s)</t>
  </si>
  <si>
    <r>
      <t xml:space="preserve"> </t>
    </r>
    <r>
      <rPr>
        <b/>
        <u val="single"/>
        <sz val="8"/>
        <rFont val="Arial"/>
        <family val="2"/>
      </rPr>
      <t>Nozzle</t>
    </r>
  </si>
  <si>
    <t>Nozzle</t>
  </si>
  <si>
    <t>Pad</t>
  </si>
  <si>
    <t>Flange</t>
  </si>
  <si>
    <t xml:space="preserve"> Inlet</t>
  </si>
  <si>
    <t>Proj.</t>
  </si>
  <si>
    <t xml:space="preserve"> Outlet</t>
  </si>
  <si>
    <t xml:space="preserve"> Tubesheet</t>
  </si>
  <si>
    <t xml:space="preserve"> Shell Girth Flange</t>
  </si>
  <si>
    <t xml:space="preserve"> Shell Cover</t>
  </si>
  <si>
    <r>
      <t xml:space="preserve"> </t>
    </r>
    <r>
      <rPr>
        <b/>
        <u val="single"/>
        <sz val="8"/>
        <rFont val="Arial"/>
        <family val="2"/>
      </rPr>
      <t>Front Head</t>
    </r>
  </si>
  <si>
    <t xml:space="preserve"> Bonnet Cover</t>
  </si>
  <si>
    <t xml:space="preserve"> Channel Cover</t>
  </si>
  <si>
    <t xml:space="preserve"> Channel Cover Flange</t>
  </si>
  <si>
    <t>Shell Cover, HE Mounting</t>
  </si>
  <si>
    <t xml:space="preserve"> Pass Partition</t>
  </si>
  <si>
    <t>plate</t>
  </si>
  <si>
    <t>DP</t>
  </si>
  <si>
    <t>DT</t>
  </si>
  <si>
    <t>Tube Side</t>
  </si>
  <si>
    <t>CA</t>
  </si>
  <si>
    <t xml:space="preserve"> Baffle / Support Plate</t>
  </si>
  <si>
    <t xml:space="preserve"> Longi. Baffle</t>
  </si>
  <si>
    <t xml:space="preserve"> Impingement Plate</t>
  </si>
  <si>
    <t>Rib</t>
  </si>
  <si>
    <t>Base Plate</t>
  </si>
  <si>
    <t>Pad</t>
  </si>
  <si>
    <t>Saddle</t>
  </si>
  <si>
    <t>Anchor Bolt</t>
  </si>
  <si>
    <t xml:space="preserve"> Intermittent Support</t>
  </si>
  <si>
    <t>kg/m3</t>
  </si>
  <si>
    <t>t</t>
  </si>
  <si>
    <t>m2</t>
  </si>
  <si>
    <r>
      <t xml:space="preserve"> </t>
    </r>
    <r>
      <rPr>
        <b/>
        <u val="single"/>
        <sz val="8"/>
        <rFont val="Arial"/>
        <family val="2"/>
      </rPr>
      <t>Rear Head</t>
    </r>
  </si>
  <si>
    <t xml:space="preserve"> Expansion Joint</t>
  </si>
  <si>
    <t xml:space="preserve"> Vent Valve</t>
  </si>
  <si>
    <t xml:space="preserve"> Drain Valve</t>
  </si>
  <si>
    <r>
      <t>단</t>
    </r>
    <r>
      <rPr>
        <u val="single"/>
        <sz val="8"/>
        <rFont val="Arial"/>
        <family val="2"/>
      </rPr>
      <t xml:space="preserve"> </t>
    </r>
    <r>
      <rPr>
        <u val="single"/>
        <sz val="8"/>
        <rFont val="돋움"/>
        <family val="3"/>
      </rPr>
      <t>가</t>
    </r>
    <r>
      <rPr>
        <u val="single"/>
        <sz val="8"/>
        <rFont val="Arial"/>
        <family val="2"/>
      </rPr>
      <t xml:space="preserve"> / ea</t>
    </r>
  </si>
  <si>
    <t>Cladding</t>
  </si>
  <si>
    <t>Rubber Lining</t>
  </si>
  <si>
    <t>Epoxy Coating</t>
  </si>
  <si>
    <t>Sacrificial Anodes</t>
  </si>
  <si>
    <t>kg/ea</t>
  </si>
  <si>
    <t>Gasket</t>
  </si>
  <si>
    <t>Bolt / Nut</t>
  </si>
  <si>
    <t>Gasket</t>
  </si>
  <si>
    <t>Bolt / Nut</t>
  </si>
  <si>
    <t>Web Plate</t>
  </si>
  <si>
    <r>
      <t xml:space="preserve"> </t>
    </r>
    <r>
      <rPr>
        <b/>
        <u val="single"/>
        <sz val="8"/>
        <rFont val="Arial"/>
        <family val="2"/>
      </rPr>
      <t>Accessories</t>
    </r>
  </si>
  <si>
    <t>Clip</t>
  </si>
  <si>
    <t>Clip</t>
  </si>
  <si>
    <t xml:space="preserve"> Drain</t>
  </si>
  <si>
    <t xml:space="preserve"> Vent</t>
  </si>
  <si>
    <t>Tie Rod</t>
  </si>
  <si>
    <t>Spacer</t>
  </si>
  <si>
    <t xml:space="preserve"> Tubesheet</t>
  </si>
  <si>
    <t xml:space="preserve"> Baffle</t>
  </si>
  <si>
    <t xml:space="preserve"> Bending</t>
  </si>
  <si>
    <t xml:space="preserve"> Forming</t>
  </si>
  <si>
    <t xml:space="preserve"> Tube Cutting</t>
  </si>
  <si>
    <r>
      <t xml:space="preserve"> Tube Bundle </t>
    </r>
    <r>
      <rPr>
        <sz val="8"/>
        <rFont val="돋움"/>
        <family val="3"/>
      </rPr>
      <t>조립</t>
    </r>
  </si>
  <si>
    <t xml:space="preserve"> Tube to Tubesheet</t>
  </si>
  <si>
    <t xml:space="preserve"> Painting</t>
  </si>
  <si>
    <t xml:space="preserve"> Hydro. Test</t>
  </si>
  <si>
    <r>
      <t xml:space="preserve"> PMI </t>
    </r>
    <r>
      <rPr>
        <sz val="8"/>
        <rFont val="돋움"/>
        <family val="3"/>
      </rPr>
      <t>검사</t>
    </r>
  </si>
  <si>
    <t xml:space="preserve"> Tube</t>
  </si>
  <si>
    <t xml:space="preserve"> Shell</t>
  </si>
  <si>
    <t xml:space="preserve"> Channel</t>
  </si>
  <si>
    <t xml:space="preserve"> Saddle Wear Pl.</t>
  </si>
  <si>
    <t xml:space="preserve"> Nozzle Pad</t>
  </si>
  <si>
    <t xml:space="preserve"> Plate Cutting</t>
  </si>
  <si>
    <r>
      <t xml:space="preserve"> Hole </t>
    </r>
    <r>
      <rPr>
        <sz val="8"/>
        <rFont val="돋움"/>
        <family val="3"/>
      </rPr>
      <t>가공</t>
    </r>
  </si>
  <si>
    <t xml:space="preserve"> Expanding</t>
  </si>
  <si>
    <t xml:space="preserve"> Welding</t>
  </si>
  <si>
    <r>
      <t xml:space="preserve"> PT </t>
    </r>
    <r>
      <rPr>
        <sz val="8"/>
        <rFont val="돋움"/>
        <family val="3"/>
      </rPr>
      <t>검사</t>
    </r>
  </si>
  <si>
    <t xml:space="preserve"> Tube to Tubesheet</t>
  </si>
  <si>
    <r>
      <t xml:space="preserve"> MT </t>
    </r>
    <r>
      <rPr>
        <sz val="8"/>
        <rFont val="돋움"/>
        <family val="3"/>
      </rPr>
      <t>검사</t>
    </r>
  </si>
  <si>
    <t xml:space="preserve"> Shell</t>
  </si>
  <si>
    <t xml:space="preserve"> Nozzle</t>
  </si>
  <si>
    <t xml:space="preserve"> Nozzle</t>
  </si>
  <si>
    <r>
      <t xml:space="preserve"> RT </t>
    </r>
    <r>
      <rPr>
        <sz val="8"/>
        <rFont val="돋움"/>
        <family val="3"/>
      </rPr>
      <t>검사</t>
    </r>
  </si>
  <si>
    <r>
      <t xml:space="preserve"> UT </t>
    </r>
    <r>
      <rPr>
        <sz val="8"/>
        <rFont val="돋움"/>
        <family val="3"/>
      </rPr>
      <t>검사</t>
    </r>
  </si>
  <si>
    <r>
      <t xml:space="preserve"> </t>
    </r>
    <r>
      <rPr>
        <sz val="8"/>
        <rFont val="돋움"/>
        <family val="3"/>
      </rPr>
      <t>안전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인증</t>
    </r>
  </si>
  <si>
    <t xml:space="preserve"> Saddle</t>
  </si>
  <si>
    <r>
      <t xml:space="preserve"> </t>
    </r>
    <r>
      <rPr>
        <sz val="8"/>
        <rFont val="돋움"/>
        <family val="3"/>
      </rPr>
      <t>용접</t>
    </r>
  </si>
  <si>
    <t xml:space="preserve"> ASME Stamping</t>
  </si>
  <si>
    <t>m</t>
  </si>
  <si>
    <t>장</t>
  </si>
  <si>
    <t>식</t>
  </si>
  <si>
    <t>식</t>
  </si>
  <si>
    <t>MD</t>
  </si>
  <si>
    <t>ea</t>
  </si>
  <si>
    <t>MD</t>
  </si>
  <si>
    <t>ea</t>
  </si>
  <si>
    <t>m2</t>
  </si>
  <si>
    <t>t</t>
  </si>
  <si>
    <t>Nozzle</t>
  </si>
  <si>
    <t>Pad</t>
  </si>
  <si>
    <t>Flange</t>
  </si>
  <si>
    <t>- N/A -</t>
  </si>
  <si>
    <t>Yes</t>
  </si>
  <si>
    <t>Saddle Hgt</t>
  </si>
  <si>
    <t>Hgt to VSL Center</t>
  </si>
  <si>
    <t>nps &gt;</t>
  </si>
  <si>
    <t>pipe</t>
  </si>
  <si>
    <t>Nozzle</t>
  </si>
  <si>
    <t xml:space="preserve"> Spare Parts for Erection &amp; Commissioning</t>
  </si>
  <si>
    <t xml:space="preserve"> Spare Parts for Two(2) Years</t>
  </si>
  <si>
    <t>ERS - 19 - H0801</t>
  </si>
  <si>
    <t>2019.00.01</t>
  </si>
  <si>
    <t>Project Name</t>
  </si>
  <si>
    <t>Item Name</t>
  </si>
  <si>
    <t>㈜고객</t>
  </si>
  <si>
    <t>원</t>
  </si>
  <si>
    <t>Lagging</t>
  </si>
  <si>
    <r>
      <t>원</t>
    </r>
    <r>
      <rPr>
        <u val="single"/>
        <sz val="8"/>
        <color indexed="10"/>
        <rFont val="Arial"/>
        <family val="2"/>
      </rPr>
      <t xml:space="preserve"> / kg</t>
    </r>
  </si>
  <si>
    <t>ntps</t>
  </si>
  <si>
    <r>
      <t>S</t>
    </r>
    <r>
      <rPr>
        <u val="single"/>
        <sz val="8"/>
        <rFont val="Arial"/>
        <family val="2"/>
      </rPr>
      <t>~, ASME Material</t>
    </r>
  </si>
  <si>
    <t>Tube Le &gt;</t>
  </si>
  <si>
    <t xml:space="preserve"> Mating Flg / Gasket / B&amp;N</t>
  </si>
  <si>
    <r>
      <t xml:space="preserve"> Opening CV / Gasket / B&amp;N </t>
    </r>
    <r>
      <rPr>
        <sz val="7"/>
        <rFont val="돋움"/>
        <family val="3"/>
      </rPr>
      <t>및</t>
    </r>
    <r>
      <rPr>
        <sz val="7"/>
        <rFont val="Arial"/>
        <family val="2"/>
      </rPr>
      <t xml:space="preserve"> </t>
    </r>
    <r>
      <rPr>
        <sz val="7"/>
        <rFont val="돋움"/>
        <family val="3"/>
      </rPr>
      <t>설치</t>
    </r>
    <r>
      <rPr>
        <sz val="7"/>
        <rFont val="Arial"/>
        <family val="2"/>
      </rPr>
      <t xml:space="preserve"> </t>
    </r>
    <r>
      <rPr>
        <sz val="7"/>
        <rFont val="돋움"/>
        <family val="3"/>
      </rPr>
      <t>작업</t>
    </r>
  </si>
  <si>
    <t>Aaaaaa</t>
  </si>
  <si>
    <t>2019.  9.  1.</t>
  </si>
  <si>
    <t>RT</t>
  </si>
  <si>
    <r>
      <t xml:space="preserve">PWHT </t>
    </r>
    <r>
      <rPr>
        <sz val="8"/>
        <rFont val="돋움"/>
        <family val="3"/>
      </rPr>
      <t>하는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경우는</t>
    </r>
    <r>
      <rPr>
        <sz val="8"/>
        <rFont val="Arial"/>
        <family val="2"/>
      </rPr>
      <t xml:space="preserve"> PWHT </t>
    </r>
    <r>
      <rPr>
        <sz val="8"/>
        <rFont val="돋움"/>
        <family val="3"/>
      </rPr>
      <t>전과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후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두번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하는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것으로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함</t>
    </r>
    <r>
      <rPr>
        <sz val="8"/>
        <rFont val="Arial"/>
        <family val="2"/>
      </rPr>
      <t>.</t>
    </r>
  </si>
  <si>
    <t>만원 / 톤</t>
  </si>
  <si>
    <t>C-seam</t>
  </si>
  <si>
    <t>Normalized</t>
  </si>
  <si>
    <t>Referenced Flange</t>
  </si>
  <si>
    <r>
      <t xml:space="preserve"> </t>
    </r>
    <r>
      <rPr>
        <b/>
        <u val="single"/>
        <sz val="8"/>
        <rFont val="Arial"/>
        <family val="2"/>
      </rPr>
      <t>Insulation</t>
    </r>
  </si>
  <si>
    <t>실중량</t>
  </si>
  <si>
    <r>
      <t>자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비</t>
    </r>
  </si>
  <si>
    <t>Description</t>
  </si>
  <si>
    <t>Material</t>
  </si>
  <si>
    <t>Size</t>
  </si>
  <si>
    <t>Q'ty</t>
  </si>
  <si>
    <t>Weight, kg</t>
  </si>
  <si>
    <r>
      <t>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가</t>
    </r>
  </si>
  <si>
    <r>
      <t>금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액</t>
    </r>
  </si>
  <si>
    <t>OD</t>
  </si>
  <si>
    <t>t</t>
  </si>
  <si>
    <t>L</t>
  </si>
  <si>
    <t>Fw</t>
  </si>
  <si>
    <t>견적중랼</t>
  </si>
  <si>
    <r>
      <t>S</t>
    </r>
    <r>
      <rPr>
        <u val="single"/>
        <sz val="8"/>
        <rFont val="Arial"/>
        <family val="2"/>
      </rPr>
      <t>~, ASME Material</t>
    </r>
  </si>
  <si>
    <t>T U B E     B U N D L E</t>
  </si>
  <si>
    <t>S.G.</t>
  </si>
  <si>
    <t xml:space="preserve"> Tube</t>
  </si>
  <si>
    <t>소 계</t>
  </si>
  <si>
    <r>
      <t>소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계</t>
    </r>
  </si>
  <si>
    <t>합 계</t>
  </si>
  <si>
    <t>가 공 비</t>
  </si>
  <si>
    <t xml:space="preserve"> Tubesheet</t>
  </si>
  <si>
    <r>
      <t xml:space="preserve"> Hole </t>
    </r>
    <r>
      <rPr>
        <sz val="8"/>
        <rFont val="돋움"/>
        <family val="3"/>
      </rPr>
      <t>가공</t>
    </r>
  </si>
  <si>
    <t>ea</t>
  </si>
  <si>
    <r>
      <t xml:space="preserve"> Groove </t>
    </r>
    <r>
      <rPr>
        <sz val="8"/>
        <rFont val="돋움"/>
        <family val="3"/>
      </rPr>
      <t>가공</t>
    </r>
  </si>
  <si>
    <t>up to Dia.</t>
  </si>
  <si>
    <t xml:space="preserve"> Bending</t>
  </si>
  <si>
    <t xml:space="preserve"> Shell</t>
  </si>
  <si>
    <t>ID</t>
  </si>
  <si>
    <t xml:space="preserve"> Channel</t>
  </si>
  <si>
    <t xml:space="preserve"> Saddle Wear Pl.</t>
  </si>
  <si>
    <t xml:space="preserve"> Forming</t>
  </si>
  <si>
    <t xml:space="preserve"> Head</t>
  </si>
  <si>
    <t>Shell ID</t>
  </si>
  <si>
    <t xml:space="preserve"> Nozzle Pad</t>
  </si>
  <si>
    <t xml:space="preserve"> Baffle</t>
  </si>
  <si>
    <t xml:space="preserve"> Plate Cutting</t>
  </si>
  <si>
    <t>m</t>
  </si>
  <si>
    <t>제 작 비</t>
  </si>
  <si>
    <t xml:space="preserve"> Tube Cutting</t>
  </si>
  <si>
    <t>MD</t>
  </si>
  <si>
    <r>
      <t xml:space="preserve"> Tube Bundle </t>
    </r>
    <r>
      <rPr>
        <sz val="8"/>
        <rFont val="돋움"/>
        <family val="3"/>
      </rPr>
      <t>조립</t>
    </r>
  </si>
  <si>
    <t xml:space="preserve"> Tube to Tubesheet</t>
  </si>
  <si>
    <t xml:space="preserve"> Expanding</t>
  </si>
  <si>
    <t xml:space="preserve"> Welding</t>
  </si>
  <si>
    <r>
      <t xml:space="preserve"> </t>
    </r>
    <r>
      <rPr>
        <sz val="8"/>
        <rFont val="돋움"/>
        <family val="3"/>
      </rPr>
      <t>제작</t>
    </r>
  </si>
  <si>
    <r>
      <t xml:space="preserve"> </t>
    </r>
    <r>
      <rPr>
        <sz val="8"/>
        <rFont val="돋움"/>
        <family val="3"/>
      </rPr>
      <t>용접</t>
    </r>
  </si>
  <si>
    <t xml:space="preserve"> Saddle</t>
  </si>
  <si>
    <t xml:space="preserve"> Nozzle</t>
  </si>
  <si>
    <r>
      <t xml:space="preserve"> </t>
    </r>
    <r>
      <rPr>
        <sz val="8"/>
        <rFont val="돋움"/>
        <family val="3"/>
      </rPr>
      <t>용접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소모자재</t>
    </r>
  </si>
  <si>
    <t>%</t>
  </si>
  <si>
    <t xml:space="preserve"> Acid Cleaning</t>
  </si>
  <si>
    <t>kg</t>
  </si>
  <si>
    <t xml:space="preserve"> P.W.H.T.</t>
  </si>
  <si>
    <t xml:space="preserve"> Painting</t>
  </si>
  <si>
    <t>검 사 비</t>
  </si>
  <si>
    <t>L-seam</t>
  </si>
  <si>
    <t>C-seam</t>
  </si>
  <si>
    <r>
      <t xml:space="preserve"> PMI </t>
    </r>
    <r>
      <rPr>
        <sz val="8"/>
        <rFont val="돋움"/>
        <family val="3"/>
      </rPr>
      <t>검사</t>
    </r>
  </si>
  <si>
    <r>
      <t xml:space="preserve"> </t>
    </r>
    <r>
      <rPr>
        <sz val="8"/>
        <rFont val="돋움"/>
        <family val="3"/>
      </rPr>
      <t>자재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검사</t>
    </r>
  </si>
  <si>
    <r>
      <t xml:space="preserve"> RT </t>
    </r>
    <r>
      <rPr>
        <sz val="8"/>
        <rFont val="돋움"/>
        <family val="3"/>
      </rPr>
      <t>검사</t>
    </r>
  </si>
  <si>
    <t>장</t>
  </si>
  <si>
    <r>
      <t xml:space="preserve"> </t>
    </r>
    <r>
      <rPr>
        <sz val="8"/>
        <rFont val="돋움"/>
        <family val="3"/>
      </rPr>
      <t>용접부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검사</t>
    </r>
  </si>
  <si>
    <r>
      <t xml:space="preserve"> PT </t>
    </r>
    <r>
      <rPr>
        <sz val="8"/>
        <rFont val="돋움"/>
        <family val="3"/>
      </rPr>
      <t>검사</t>
    </r>
  </si>
  <si>
    <r>
      <t xml:space="preserve"> UT </t>
    </r>
    <r>
      <rPr>
        <sz val="8"/>
        <rFont val="돋움"/>
        <family val="3"/>
      </rPr>
      <t>검사</t>
    </r>
  </si>
  <si>
    <r>
      <t xml:space="preserve"> </t>
    </r>
    <r>
      <rPr>
        <sz val="8"/>
        <rFont val="돋움"/>
        <family val="3"/>
      </rPr>
      <t>안전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인증</t>
    </r>
  </si>
  <si>
    <r>
      <t xml:space="preserve"> </t>
    </r>
    <r>
      <rPr>
        <sz val="7"/>
        <rFont val="돋움"/>
        <family val="3"/>
      </rPr>
      <t>용접</t>
    </r>
    <r>
      <rPr>
        <sz val="7"/>
        <rFont val="Arial"/>
        <family val="2"/>
      </rPr>
      <t xml:space="preserve"> </t>
    </r>
    <r>
      <rPr>
        <sz val="7"/>
        <rFont val="돋움"/>
        <family val="3"/>
      </rPr>
      <t>검사</t>
    </r>
  </si>
  <si>
    <t>식</t>
  </si>
  <si>
    <r>
      <t xml:space="preserve"> MT </t>
    </r>
    <r>
      <rPr>
        <sz val="8"/>
        <rFont val="돋움"/>
        <family val="3"/>
      </rPr>
      <t>검사</t>
    </r>
  </si>
  <si>
    <r>
      <t xml:space="preserve"> </t>
    </r>
    <r>
      <rPr>
        <sz val="7"/>
        <rFont val="돋움"/>
        <family val="3"/>
      </rPr>
      <t>구조</t>
    </r>
    <r>
      <rPr>
        <sz val="7"/>
        <rFont val="Arial"/>
        <family val="2"/>
      </rPr>
      <t xml:space="preserve"> </t>
    </r>
    <r>
      <rPr>
        <sz val="7"/>
        <rFont val="돋움"/>
        <family val="3"/>
      </rPr>
      <t>검사</t>
    </r>
  </si>
  <si>
    <t xml:space="preserve"> ASME Stamping</t>
  </si>
  <si>
    <t xml:space="preserve"> Hydro. Test</t>
  </si>
  <si>
    <t>포 장 비</t>
  </si>
  <si>
    <t xml:space="preserve"> N2 Charging</t>
  </si>
  <si>
    <t>m3</t>
  </si>
  <si>
    <r>
      <t xml:space="preserve"> </t>
    </r>
    <r>
      <rPr>
        <sz val="8"/>
        <rFont val="돋움"/>
        <family val="3"/>
      </rPr>
      <t>포장</t>
    </r>
  </si>
  <si>
    <t xml:space="preserve"> Nozzle Blinding</t>
  </si>
  <si>
    <t>운 반 비</t>
  </si>
  <si>
    <r>
      <t xml:space="preserve"> </t>
    </r>
    <r>
      <rPr>
        <sz val="8"/>
        <rFont val="돋움"/>
        <family val="3"/>
      </rPr>
      <t>현장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조립비</t>
    </r>
  </si>
  <si>
    <r>
      <t xml:space="preserve"> </t>
    </r>
    <r>
      <rPr>
        <sz val="8"/>
        <rFont val="돋움"/>
        <family val="3"/>
      </rPr>
      <t>운반</t>
    </r>
  </si>
  <si>
    <r>
      <t xml:space="preserve"> </t>
    </r>
    <r>
      <rPr>
        <sz val="8"/>
        <rFont val="돋움"/>
        <family val="3"/>
      </rPr>
      <t>크레인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사용료</t>
    </r>
  </si>
  <si>
    <r>
      <t>원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돋움"/>
        <family val="3"/>
      </rPr>
      <t>가</t>
    </r>
    <r>
      <rPr>
        <sz val="8"/>
        <color indexed="10"/>
        <rFont val="Arial"/>
        <family val="2"/>
      </rPr>
      <t xml:space="preserve">   </t>
    </r>
    <r>
      <rPr>
        <sz val="8"/>
        <color indexed="10"/>
        <rFont val="돋움"/>
        <family val="3"/>
      </rPr>
      <t>분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돋움"/>
        <family val="3"/>
      </rPr>
      <t>석</t>
    </r>
  </si>
  <si>
    <t>설 계 비</t>
  </si>
  <si>
    <r>
      <t xml:space="preserve"> </t>
    </r>
    <r>
      <rPr>
        <sz val="8"/>
        <rFont val="돋움"/>
        <family val="3"/>
      </rPr>
      <t>열설계</t>
    </r>
  </si>
  <si>
    <t xml:space="preserve"> FEA</t>
  </si>
  <si>
    <r>
      <t xml:space="preserve"> </t>
    </r>
    <r>
      <rPr>
        <sz val="8"/>
        <rFont val="돋움"/>
        <family val="3"/>
      </rPr>
      <t>강도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계산</t>
    </r>
  </si>
  <si>
    <t xml:space="preserve"> CFD</t>
  </si>
  <si>
    <r>
      <t xml:space="preserve"> </t>
    </r>
    <r>
      <rPr>
        <sz val="8"/>
        <rFont val="돋움"/>
        <family val="3"/>
      </rPr>
      <t>도면</t>
    </r>
  </si>
  <si>
    <t xml:space="preserve"> Vendor Print</t>
  </si>
  <si>
    <t>:</t>
  </si>
  <si>
    <t>일반관리비</t>
  </si>
  <si>
    <t>이 윤</t>
  </si>
  <si>
    <t>견적가</t>
  </si>
  <si>
    <t>per Unit</t>
  </si>
  <si>
    <t>m2</t>
  </si>
  <si>
    <t>S.G.</t>
  </si>
  <si>
    <r>
      <t xml:space="preserve"> Groove </t>
    </r>
    <r>
      <rPr>
        <sz val="8"/>
        <rFont val="돋움"/>
        <family val="3"/>
      </rPr>
      <t>가공</t>
    </r>
  </si>
  <si>
    <t>OD</t>
  </si>
  <si>
    <t>t</t>
  </si>
  <si>
    <t>L</t>
  </si>
  <si>
    <t>Q'ty</t>
  </si>
  <si>
    <t>Normalized</t>
  </si>
  <si>
    <t>nps</t>
  </si>
  <si>
    <t>class</t>
  </si>
  <si>
    <t>단가</t>
  </si>
  <si>
    <t>tube</t>
  </si>
  <si>
    <t>plate</t>
  </si>
  <si>
    <t>forging</t>
  </si>
  <si>
    <t>flange</t>
  </si>
  <si>
    <t>gasket</t>
  </si>
  <si>
    <t>상세견적_S&amp;T</t>
  </si>
  <si>
    <t>Spare Parts for Erection &amp; Commissioning</t>
  </si>
  <si>
    <t>Spare Parts for Two(2) Years</t>
  </si>
  <si>
    <t>set</t>
  </si>
  <si>
    <t>H/E 1</t>
  </si>
  <si>
    <t>TD HE S&amp;T v2020.0</t>
  </si>
  <si>
    <t>TD HE S&amp;T v2020.00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</si>
</sst>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yyyy&quot;년&quot;\ m&quot;월&quot;\ d&quot;일&quot;;@"/>
    <numFmt numFmtId="181" formatCode="#,##0_);[Red]\(#,##0\)"/>
    <numFmt numFmtId="182" formatCode="#,##0.0_ "/>
    <numFmt numFmtId="183" formatCode="#,##0.0_);[Red]\(#,##0.0\)"/>
    <numFmt numFmtId="184" formatCode="0;_琀"/>
    <numFmt numFmtId="185" formatCode="0.000000_ "/>
    <numFmt numFmtId="186" formatCode="0.00000_ "/>
    <numFmt numFmtId="187" formatCode="0.0000_ "/>
    <numFmt numFmtId="188" formatCode="0.000_ "/>
    <numFmt numFmtId="189" formatCode="mm&quot;월&quot;\ dd&quot;일&quot;"/>
  </numFmts>
  <fonts count="46">
    <font>
      <sz val="11"/>
      <name val="돋움"/>
      <family val="3"/>
    </font>
    <font>
      <sz val="8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4"/>
      <name val="바탕체"/>
      <family val="1"/>
    </font>
    <font>
      <sz val="9"/>
      <name val="Arial"/>
      <family val="2"/>
    </font>
    <font>
      <b/>
      <sz val="9"/>
      <name val="바탕체"/>
      <family val="1"/>
    </font>
    <font>
      <b/>
      <sz val="9"/>
      <name val="Arial"/>
      <family val="2"/>
    </font>
    <font>
      <sz val="9"/>
      <name val="바탕체"/>
      <family val="1"/>
    </font>
    <font>
      <u val="single"/>
      <sz val="9"/>
      <color indexed="12"/>
      <name val="Arial"/>
      <family val="2"/>
    </font>
    <font>
      <sz val="9"/>
      <name val="돋움"/>
      <family val="3"/>
    </font>
    <font>
      <u val="single"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u val="single"/>
      <sz val="8"/>
      <name val="돋움"/>
      <family val="3"/>
    </font>
    <font>
      <b/>
      <sz val="8"/>
      <name val="돋움"/>
      <family val="3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.5"/>
      <name val="Arial"/>
      <family val="2"/>
    </font>
    <font>
      <sz val="8"/>
      <color indexed="10"/>
      <name val="돋움"/>
      <family val="3"/>
    </font>
    <font>
      <b/>
      <sz val="8"/>
      <color indexed="12"/>
      <name val="돋움"/>
      <family val="3"/>
    </font>
    <font>
      <b/>
      <u val="single"/>
      <sz val="8"/>
      <name val="Arial"/>
      <family val="2"/>
    </font>
    <font>
      <sz val="7"/>
      <name val="돋움"/>
      <family val="3"/>
    </font>
    <font>
      <sz val="7"/>
      <color indexed="12"/>
      <name val="Arial"/>
      <family val="2"/>
    </font>
    <font>
      <u val="single"/>
      <sz val="8"/>
      <color indexed="10"/>
      <name val="돋움"/>
      <family val="3"/>
    </font>
    <font>
      <b/>
      <u val="single"/>
      <sz val="8"/>
      <color indexed="10"/>
      <name val="Arial"/>
      <family val="2"/>
    </font>
    <font>
      <sz val="7.5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돋움"/>
      <family val="3"/>
    </font>
    <font>
      <sz val="7.5"/>
      <name val="돋움"/>
      <family val="3"/>
    </font>
    <font>
      <b/>
      <sz val="9"/>
      <color indexed="12"/>
      <name val="Arial"/>
      <family val="2"/>
    </font>
    <font>
      <b/>
      <sz val="9"/>
      <color indexed="12"/>
      <name val="바탕체"/>
      <family val="1"/>
    </font>
    <font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0" xfId="24" applyFont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6" fontId="23" fillId="0" borderId="16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176" fontId="23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5" fillId="0" borderId="0" xfId="0" applyFont="1" applyAlignment="1">
      <alignment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176" fontId="23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3" borderId="20" xfId="0" applyFont="1" applyFill="1" applyBorder="1" applyAlignment="1">
      <alignment horizontal="center"/>
    </xf>
    <xf numFmtId="0" fontId="18" fillId="0" borderId="2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2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0" xfId="0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20" xfId="0" applyNumberFormat="1" applyFont="1" applyFill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30" fillId="2" borderId="0" xfId="0" applyFont="1" applyFill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right"/>
    </xf>
    <xf numFmtId="176" fontId="23" fillId="0" borderId="32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right"/>
    </xf>
    <xf numFmtId="176" fontId="23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2" xfId="0" applyFont="1" applyBorder="1" applyAlignment="1">
      <alignment horizontal="right"/>
    </xf>
    <xf numFmtId="176" fontId="2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0" fillId="0" borderId="2" xfId="0" applyFont="1" applyBorder="1" applyAlignment="1">
      <alignment horizontal="right"/>
    </xf>
    <xf numFmtId="179" fontId="5" fillId="0" borderId="2" xfId="0" applyNumberFormat="1" applyFont="1" applyBorder="1" applyAlignment="1">
      <alignment/>
    </xf>
    <xf numFmtId="0" fontId="27" fillId="0" borderId="2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27" fillId="0" borderId="2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18" fillId="0" borderId="4" xfId="0" applyFont="1" applyBorder="1" applyAlignment="1">
      <alignment/>
    </xf>
    <xf numFmtId="179" fontId="5" fillId="0" borderId="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33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9" xfId="0" applyFont="1" applyBorder="1" applyAlignment="1">
      <alignment horizontal="right"/>
    </xf>
    <xf numFmtId="176" fontId="23" fillId="0" borderId="39" xfId="0" applyNumberFormat="1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179" fontId="5" fillId="0" borderId="3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0" xfId="0" applyFont="1" applyBorder="1" applyAlignment="1">
      <alignment/>
    </xf>
    <xf numFmtId="0" fontId="26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4" fillId="0" borderId="2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5" fillId="4" borderId="19" xfId="0" applyFont="1" applyFill="1" applyBorder="1" applyAlignment="1">
      <alignment horizontal="right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2" xfId="0" applyFont="1" applyBorder="1" applyAlignment="1">
      <alignment/>
    </xf>
    <xf numFmtId="0" fontId="25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4" xfId="0" applyFont="1" applyBorder="1" applyAlignment="1">
      <alignment/>
    </xf>
    <xf numFmtId="179" fontId="5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0" fillId="0" borderId="3" xfId="0" applyFont="1" applyBorder="1" applyAlignment="1">
      <alignment/>
    </xf>
    <xf numFmtId="0" fontId="18" fillId="0" borderId="0" xfId="0" applyFont="1" applyAlignment="1">
      <alignment horizontal="left"/>
    </xf>
    <xf numFmtId="0" fontId="31" fillId="0" borderId="3" xfId="0" applyFont="1" applyBorder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6" fillId="0" borderId="4" xfId="0" applyFont="1" applyBorder="1" applyAlignment="1">
      <alignment/>
    </xf>
    <xf numFmtId="0" fontId="24" fillId="3" borderId="0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1" xfId="0" applyFont="1" applyBorder="1" applyAlignment="1">
      <alignment/>
    </xf>
    <xf numFmtId="0" fontId="26" fillId="0" borderId="33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37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3" fillId="0" borderId="4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3" fillId="0" borderId="0" xfId="0" applyFont="1" applyBorder="1" applyAlignment="1">
      <alignment/>
    </xf>
    <xf numFmtId="179" fontId="5" fillId="0" borderId="20" xfId="0" applyNumberFormat="1" applyFont="1" applyBorder="1" applyAlignment="1">
      <alignment horizontal="center"/>
    </xf>
    <xf numFmtId="0" fontId="26" fillId="0" borderId="42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5" fillId="0" borderId="4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18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6" fillId="0" borderId="8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7" fillId="0" borderId="26" xfId="0" applyFont="1" applyBorder="1" applyAlignment="1">
      <alignment/>
    </xf>
    <xf numFmtId="0" fontId="43" fillId="0" borderId="0" xfId="0" applyFont="1" applyBorder="1" applyAlignment="1">
      <alignment horizontal="center"/>
    </xf>
    <xf numFmtId="180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79" fontId="11" fillId="0" borderId="0" xfId="0" applyNumberFormat="1" applyFont="1" applyAlignment="1">
      <alignment horizont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0" fillId="0" borderId="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1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9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17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9" fontId="5" fillId="0" borderId="26" xfId="0" applyNumberFormat="1" applyFont="1" applyBorder="1" applyAlignment="1">
      <alignment horizontal="center"/>
    </xf>
    <xf numFmtId="179" fontId="5" fillId="0" borderId="2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 horizontal="right"/>
    </xf>
    <xf numFmtId="179" fontId="5" fillId="0" borderId="9" xfId="0" applyNumberFormat="1" applyFont="1" applyBorder="1" applyAlignment="1">
      <alignment horizontal="right"/>
    </xf>
    <xf numFmtId="179" fontId="23" fillId="0" borderId="17" xfId="0" applyNumberFormat="1" applyFont="1" applyBorder="1" applyAlignment="1">
      <alignment horizontal="right"/>
    </xf>
    <xf numFmtId="179" fontId="23" fillId="0" borderId="4" xfId="0" applyNumberFormat="1" applyFont="1" applyBorder="1" applyAlignment="1">
      <alignment horizontal="right"/>
    </xf>
    <xf numFmtId="179" fontId="23" fillId="0" borderId="9" xfId="0" applyNumberFormat="1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3" borderId="2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9" fontId="23" fillId="0" borderId="8" xfId="0" applyNumberFormat="1" applyFont="1" applyBorder="1" applyAlignment="1">
      <alignment horizontal="right"/>
    </xf>
    <xf numFmtId="179" fontId="23" fillId="0" borderId="4" xfId="0" applyNumberFormat="1" applyFont="1" applyBorder="1" applyAlignment="1">
      <alignment/>
    </xf>
    <xf numFmtId="179" fontId="23" fillId="0" borderId="37" xfId="0" applyNumberFormat="1" applyFont="1" applyBorder="1" applyAlignment="1">
      <alignment horizontal="right"/>
    </xf>
    <xf numFmtId="179" fontId="23" fillId="0" borderId="5" xfId="0" applyNumberFormat="1" applyFont="1" applyBorder="1" applyAlignment="1">
      <alignment horizontal="right"/>
    </xf>
    <xf numFmtId="179" fontId="23" fillId="0" borderId="11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5" fillId="0" borderId="34" xfId="0" applyNumberFormat="1" applyFont="1" applyBorder="1" applyAlignment="1">
      <alignment horizontal="right"/>
    </xf>
    <xf numFmtId="179" fontId="5" fillId="0" borderId="33" xfId="0" applyNumberFormat="1" applyFont="1" applyBorder="1" applyAlignment="1">
      <alignment horizontal="right"/>
    </xf>
    <xf numFmtId="179" fontId="5" fillId="0" borderId="46" xfId="0" applyNumberFormat="1" applyFont="1" applyBorder="1" applyAlignment="1">
      <alignment horizontal="right"/>
    </xf>
    <xf numFmtId="179" fontId="5" fillId="0" borderId="47" xfId="0" applyNumberFormat="1" applyFont="1" applyBorder="1" applyAlignment="1">
      <alignment horizontal="right"/>
    </xf>
    <xf numFmtId="179" fontId="5" fillId="0" borderId="8" xfId="0" applyNumberFormat="1" applyFont="1" applyBorder="1" applyAlignment="1">
      <alignment horizontal="right"/>
    </xf>
    <xf numFmtId="179" fontId="5" fillId="0" borderId="37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0" borderId="6" xfId="0" applyNumberFormat="1" applyFont="1" applyBorder="1" applyAlignment="1">
      <alignment horizontal="right"/>
    </xf>
    <xf numFmtId="179" fontId="5" fillId="0" borderId="48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9" fontId="7" fillId="3" borderId="20" xfId="0" applyNumberFormat="1" applyFont="1" applyFill="1" applyBorder="1" applyAlignment="1">
      <alignment horizontal="right"/>
    </xf>
    <xf numFmtId="179" fontId="19" fillId="3" borderId="20" xfId="0" applyNumberFormat="1" applyFont="1" applyFill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9" fontId="5" fillId="0" borderId="30" xfId="0" applyNumberFormat="1" applyFont="1" applyBorder="1" applyAlignment="1">
      <alignment horizontal="right"/>
    </xf>
    <xf numFmtId="179" fontId="5" fillId="0" borderId="49" xfId="0" applyNumberFormat="1" applyFont="1" applyBorder="1" applyAlignment="1">
      <alignment horizontal="right"/>
    </xf>
    <xf numFmtId="179" fontId="5" fillId="0" borderId="50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9" fontId="5" fillId="0" borderId="51" xfId="0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82" fontId="5" fillId="0" borderId="52" xfId="0" applyNumberFormat="1" applyFont="1" applyBorder="1" applyAlignment="1">
      <alignment horizontal="right"/>
    </xf>
    <xf numFmtId="182" fontId="5" fillId="0" borderId="47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82" fontId="5" fillId="0" borderId="48" xfId="0" applyNumberFormat="1" applyFont="1" applyBorder="1" applyAlignment="1">
      <alignment horizontal="right"/>
    </xf>
    <xf numFmtId="182" fontId="5" fillId="0" borderId="53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82" fontId="5" fillId="0" borderId="54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82" fontId="5" fillId="0" borderId="55" xfId="0" applyNumberFormat="1" applyFont="1" applyBorder="1" applyAlignment="1">
      <alignment horizontal="right"/>
    </xf>
    <xf numFmtId="182" fontId="5" fillId="0" borderId="56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3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82" fontId="5" fillId="0" borderId="8" xfId="0" applyNumberFormat="1" applyFont="1" applyBorder="1" applyAlignment="1">
      <alignment horizontal="right"/>
    </xf>
    <xf numFmtId="182" fontId="7" fillId="3" borderId="2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22" fillId="0" borderId="54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9" fontId="5" fillId="0" borderId="55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179" fontId="5" fillId="0" borderId="20" xfId="0" applyNumberFormat="1" applyFont="1" applyBorder="1" applyAlignment="1">
      <alignment horizontal="right"/>
    </xf>
    <xf numFmtId="182" fontId="5" fillId="0" borderId="4" xfId="0" applyNumberFormat="1" applyFont="1" applyBorder="1" applyAlignment="1">
      <alignment horizontal="right"/>
    </xf>
    <xf numFmtId="0" fontId="18" fillId="3" borderId="6" xfId="0" applyNumberFormat="1" applyFont="1" applyFill="1" applyBorder="1" applyAlignment="1">
      <alignment horizontal="right"/>
    </xf>
    <xf numFmtId="0" fontId="18" fillId="3" borderId="3" xfId="0" applyNumberFormat="1" applyFont="1" applyFill="1" applyBorder="1" applyAlignment="1">
      <alignment horizontal="right"/>
    </xf>
    <xf numFmtId="179" fontId="23" fillId="0" borderId="18" xfId="0" applyNumberFormat="1" applyFont="1" applyBorder="1" applyAlignment="1">
      <alignment horizontal="right"/>
    </xf>
    <xf numFmtId="0" fontId="18" fillId="3" borderId="8" xfId="0" applyNumberFormat="1" applyFont="1" applyFill="1" applyBorder="1" applyAlignment="1">
      <alignment horizontal="right"/>
    </xf>
    <xf numFmtId="0" fontId="18" fillId="3" borderId="4" xfId="0" applyNumberFormat="1" applyFont="1" applyFill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82" fontId="5" fillId="0" borderId="33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79" fontId="23" fillId="0" borderId="42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179" fontId="5" fillId="0" borderId="5" xfId="0" applyNumberFormat="1" applyFont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9" fontId="23" fillId="0" borderId="30" xfId="0" applyNumberFormat="1" applyFont="1" applyBorder="1" applyAlignment="1">
      <alignment horizontal="right"/>
    </xf>
    <xf numFmtId="179" fontId="23" fillId="0" borderId="15" xfId="0" applyNumberFormat="1" applyFont="1" applyBorder="1" applyAlignment="1">
      <alignment horizontal="right"/>
    </xf>
    <xf numFmtId="179" fontId="23" fillId="0" borderId="49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/>
    </xf>
    <xf numFmtId="0" fontId="22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3" fillId="0" borderId="8" xfId="0" applyFont="1" applyBorder="1" applyAlignment="1">
      <alignment/>
    </xf>
    <xf numFmtId="0" fontId="23" fillId="0" borderId="4" xfId="0" applyFont="1" applyBorder="1" applyAlignment="1">
      <alignment/>
    </xf>
    <xf numFmtId="0" fontId="29" fillId="0" borderId="0" xfId="0" applyFont="1" applyAlignment="1">
      <alignment horizontal="left" vertical="center"/>
    </xf>
    <xf numFmtId="179" fontId="23" fillId="0" borderId="13" xfId="0" applyNumberFormat="1" applyFont="1" applyBorder="1" applyAlignment="1">
      <alignment horizontal="right"/>
    </xf>
    <xf numFmtId="179" fontId="23" fillId="0" borderId="3" xfId="0" applyNumberFormat="1" applyFont="1" applyBorder="1" applyAlignment="1">
      <alignment horizontal="right"/>
    </xf>
    <xf numFmtId="179" fontId="23" fillId="0" borderId="7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center"/>
    </xf>
    <xf numFmtId="179" fontId="18" fillId="3" borderId="8" xfId="0" applyNumberFormat="1" applyFont="1" applyFill="1" applyBorder="1" applyAlignment="1">
      <alignment horizontal="right"/>
    </xf>
    <xf numFmtId="179" fontId="18" fillId="3" borderId="4" xfId="0" applyNumberFormat="1" applyFont="1" applyFill="1" applyBorder="1" applyAlignment="1">
      <alignment horizontal="right"/>
    </xf>
    <xf numFmtId="179" fontId="5" fillId="0" borderId="4" xfId="0" applyNumberFormat="1" applyFont="1" applyBorder="1" applyAlignment="1">
      <alignment/>
    </xf>
    <xf numFmtId="179" fontId="24" fillId="0" borderId="17" xfId="0" applyNumberFormat="1" applyFont="1" applyBorder="1" applyAlignment="1">
      <alignment horizontal="right"/>
    </xf>
    <xf numFmtId="179" fontId="24" fillId="0" borderId="4" xfId="0" applyNumberFormat="1" applyFont="1" applyBorder="1" applyAlignment="1">
      <alignment horizontal="right"/>
    </xf>
    <xf numFmtId="179" fontId="24" fillId="0" borderId="9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79" fontId="23" fillId="0" borderId="14" xfId="0" applyNumberFormat="1" applyFont="1" applyBorder="1" applyAlignment="1">
      <alignment horizontal="right"/>
    </xf>
    <xf numFmtId="179" fontId="23" fillId="0" borderId="34" xfId="0" applyNumberFormat="1" applyFont="1" applyBorder="1" applyAlignment="1">
      <alignment horizontal="right"/>
    </xf>
    <xf numFmtId="179" fontId="23" fillId="0" borderId="33" xfId="0" applyNumberFormat="1" applyFont="1" applyBorder="1" applyAlignment="1">
      <alignment horizontal="right"/>
    </xf>
    <xf numFmtId="179" fontId="23" fillId="0" borderId="46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/>
    </xf>
    <xf numFmtId="183" fontId="5" fillId="0" borderId="4" xfId="0" applyNumberFormat="1" applyFont="1" applyBorder="1" applyAlignment="1">
      <alignment horizontal="right"/>
    </xf>
    <xf numFmtId="0" fontId="5" fillId="0" borderId="27" xfId="0" applyFont="1" applyBorder="1" applyAlignment="1">
      <alignment vertical="center"/>
    </xf>
    <xf numFmtId="181" fontId="5" fillId="0" borderId="4" xfId="0" applyNumberFormat="1" applyFont="1" applyBorder="1" applyAlignment="1">
      <alignment horizontal="center"/>
    </xf>
    <xf numFmtId="179" fontId="5" fillId="4" borderId="4" xfId="0" applyNumberFormat="1" applyFont="1" applyFill="1" applyBorder="1" applyAlignment="1">
      <alignment horizontal="right"/>
    </xf>
    <xf numFmtId="182" fontId="5" fillId="4" borderId="17" xfId="0" applyNumberFormat="1" applyFont="1" applyFill="1" applyBorder="1" applyAlignment="1">
      <alignment horizontal="right"/>
    </xf>
    <xf numFmtId="182" fontId="5" fillId="4" borderId="4" xfId="0" applyNumberFormat="1" applyFont="1" applyFill="1" applyBorder="1" applyAlignment="1">
      <alignment horizontal="right"/>
    </xf>
    <xf numFmtId="182" fontId="5" fillId="0" borderId="17" xfId="0" applyNumberFormat="1" applyFont="1" applyBorder="1" applyAlignment="1">
      <alignment horizontal="right"/>
    </xf>
    <xf numFmtId="179" fontId="5" fillId="0" borderId="18" xfId="0" applyNumberFormat="1" applyFont="1" applyBorder="1" applyAlignment="1">
      <alignment horizontal="right"/>
    </xf>
    <xf numFmtId="182" fontId="5" fillId="0" borderId="15" xfId="0" applyNumberFormat="1" applyFont="1" applyBorder="1" applyAlignment="1">
      <alignment horizontal="right"/>
    </xf>
    <xf numFmtId="179" fontId="5" fillId="0" borderId="19" xfId="0" applyNumberFormat="1" applyFont="1" applyBorder="1" applyAlignment="1">
      <alignment horizontal="right"/>
    </xf>
    <xf numFmtId="179" fontId="5" fillId="0" borderId="53" xfId="0" applyNumberFormat="1" applyFont="1" applyBorder="1" applyAlignment="1">
      <alignment horizontal="right"/>
    </xf>
    <xf numFmtId="182" fontId="5" fillId="0" borderId="19" xfId="0" applyNumberFormat="1" applyFont="1" applyBorder="1" applyAlignment="1">
      <alignment horizontal="right"/>
    </xf>
    <xf numFmtId="182" fontId="5" fillId="0" borderId="37" xfId="0" applyNumberFormat="1" applyFont="1" applyBorder="1" applyAlignment="1">
      <alignment horizontal="right"/>
    </xf>
    <xf numFmtId="179" fontId="5" fillId="0" borderId="36" xfId="0" applyNumberFormat="1" applyFont="1" applyBorder="1" applyAlignment="1">
      <alignment horizontal="right"/>
    </xf>
    <xf numFmtId="179" fontId="5" fillId="0" borderId="57" xfId="0" applyNumberFormat="1" applyFont="1" applyBorder="1" applyAlignment="1">
      <alignment horizontal="right"/>
    </xf>
    <xf numFmtId="179" fontId="21" fillId="0" borderId="33" xfId="0" applyNumberFormat="1" applyFont="1" applyBorder="1" applyAlignment="1">
      <alignment horizontal="right"/>
    </xf>
    <xf numFmtId="179" fontId="20" fillId="0" borderId="33" xfId="0" applyNumberFormat="1" applyFont="1" applyBorder="1" applyAlignment="1">
      <alignment horizontal="right"/>
    </xf>
    <xf numFmtId="179" fontId="5" fillId="0" borderId="32" xfId="0" applyNumberFormat="1" applyFont="1" applyBorder="1" applyAlignment="1">
      <alignment horizontal="right"/>
    </xf>
    <xf numFmtId="179" fontId="5" fillId="0" borderId="58" xfId="0" applyNumberFormat="1" applyFont="1" applyBorder="1" applyAlignment="1">
      <alignment horizontal="right"/>
    </xf>
    <xf numFmtId="179" fontId="24" fillId="0" borderId="15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182" fontId="5" fillId="0" borderId="9" xfId="0" applyNumberFormat="1" applyFont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79" fontId="5" fillId="0" borderId="8" xfId="0" applyNumberFormat="1" applyFont="1" applyFill="1" applyBorder="1" applyAlignment="1">
      <alignment horizontal="right"/>
    </xf>
    <xf numFmtId="179" fontId="5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179" fontId="5" fillId="4" borderId="15" xfId="0" applyNumberFormat="1" applyFont="1" applyFill="1" applyBorder="1" applyAlignment="1">
      <alignment horizontal="right"/>
    </xf>
    <xf numFmtId="183" fontId="5" fillId="0" borderId="30" xfId="0" applyNumberFormat="1" applyFont="1" applyBorder="1" applyAlignment="1">
      <alignment horizontal="right"/>
    </xf>
    <xf numFmtId="183" fontId="5" fillId="0" borderId="15" xfId="0" applyNumberFormat="1" applyFont="1" applyBorder="1" applyAlignment="1">
      <alignment horizontal="right"/>
    </xf>
    <xf numFmtId="183" fontId="5" fillId="0" borderId="48" xfId="0" applyNumberFormat="1" applyFont="1" applyBorder="1" applyAlignment="1">
      <alignment horizontal="right"/>
    </xf>
    <xf numFmtId="183" fontId="5" fillId="0" borderId="19" xfId="0" applyNumberFormat="1" applyFont="1" applyBorder="1" applyAlignment="1">
      <alignment horizontal="right"/>
    </xf>
    <xf numFmtId="179" fontId="5" fillId="0" borderId="16" xfId="0" applyNumberFormat="1" applyFont="1" applyBorder="1" applyAlignment="1">
      <alignment horizontal="right"/>
    </xf>
    <xf numFmtId="179" fontId="5" fillId="0" borderId="56" xfId="0" applyNumberFormat="1" applyFont="1" applyBorder="1" applyAlignment="1">
      <alignment horizontal="right"/>
    </xf>
    <xf numFmtId="183" fontId="5" fillId="0" borderId="51" xfId="0" applyNumberFormat="1" applyFont="1" applyBorder="1" applyAlignment="1">
      <alignment horizontal="right"/>
    </xf>
    <xf numFmtId="183" fontId="5" fillId="0" borderId="32" xfId="0" applyNumberFormat="1" applyFont="1" applyBorder="1" applyAlignment="1">
      <alignment horizontal="right"/>
    </xf>
    <xf numFmtId="182" fontId="5" fillId="0" borderId="3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9" fontId="5" fillId="0" borderId="9" xfId="0" applyNumberFormat="1" applyFont="1" applyFill="1" applyBorder="1" applyAlignment="1">
      <alignment horizontal="right"/>
    </xf>
    <xf numFmtId="183" fontId="5" fillId="0" borderId="37" xfId="0" applyNumberFormat="1" applyFont="1" applyBorder="1" applyAlignment="1">
      <alignment horizontal="right"/>
    </xf>
    <xf numFmtId="183" fontId="5" fillId="0" borderId="5" xfId="0" applyNumberFormat="1" applyFont="1" applyBorder="1" applyAlignment="1">
      <alignment horizontal="right"/>
    </xf>
    <xf numFmtId="179" fontId="5" fillId="0" borderId="16" xfId="0" applyNumberFormat="1" applyFont="1" applyBorder="1" applyAlignment="1">
      <alignment horizontal="center"/>
    </xf>
    <xf numFmtId="179" fontId="5" fillId="0" borderId="56" xfId="0" applyNumberFormat="1" applyFont="1" applyBorder="1" applyAlignment="1">
      <alignment horizontal="center"/>
    </xf>
    <xf numFmtId="183" fontId="5" fillId="0" borderId="54" xfId="0" applyNumberFormat="1" applyFont="1" applyBorder="1" applyAlignment="1">
      <alignment horizontal="right"/>
    </xf>
    <xf numFmtId="183" fontId="5" fillId="0" borderId="12" xfId="0" applyNumberFormat="1" applyFont="1" applyBorder="1" applyAlignment="1">
      <alignment horizontal="right"/>
    </xf>
    <xf numFmtId="179" fontId="5" fillId="0" borderId="24" xfId="0" applyNumberFormat="1" applyFont="1" applyBorder="1" applyAlignment="1">
      <alignment horizontal="right"/>
    </xf>
    <xf numFmtId="179" fontId="5" fillId="0" borderId="22" xfId="0" applyNumberFormat="1" applyFont="1" applyBorder="1" applyAlignment="1">
      <alignment horizontal="right"/>
    </xf>
    <xf numFmtId="179" fontId="23" fillId="0" borderId="21" xfId="0" applyNumberFormat="1" applyFont="1" applyBorder="1" applyAlignment="1">
      <alignment horizontal="right"/>
    </xf>
    <xf numFmtId="179" fontId="23" fillId="0" borderId="2" xfId="0" applyNumberFormat="1" applyFont="1" applyBorder="1" applyAlignment="1">
      <alignment horizontal="right"/>
    </xf>
    <xf numFmtId="182" fontId="5" fillId="0" borderId="12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179" fontId="5" fillId="0" borderId="59" xfId="0" applyNumberFormat="1" applyFont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right"/>
    </xf>
    <xf numFmtId="179" fontId="5" fillId="0" borderId="23" xfId="0" applyNumberFormat="1" applyFont="1" applyBorder="1" applyAlignment="1">
      <alignment horizontal="right"/>
    </xf>
    <xf numFmtId="179" fontId="5" fillId="0" borderId="60" xfId="0" applyNumberFormat="1" applyFont="1" applyBorder="1" applyAlignment="1">
      <alignment horizontal="right"/>
    </xf>
    <xf numFmtId="179" fontId="23" fillId="0" borderId="1" xfId="0" applyNumberFormat="1" applyFont="1" applyBorder="1" applyAlignment="1">
      <alignment horizontal="right"/>
    </xf>
    <xf numFmtId="179" fontId="5" fillId="0" borderId="25" xfId="0" applyNumberFormat="1" applyFont="1" applyBorder="1" applyAlignment="1">
      <alignment horizontal="right"/>
    </xf>
    <xf numFmtId="179" fontId="5" fillId="0" borderId="61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83" fontId="5" fillId="0" borderId="17" xfId="0" applyNumberFormat="1" applyFont="1" applyFill="1" applyBorder="1" applyAlignment="1">
      <alignment horizontal="right"/>
    </xf>
    <xf numFmtId="183" fontId="5" fillId="0" borderId="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9" fontId="5" fillId="4" borderId="2" xfId="0" applyNumberFormat="1" applyFont="1" applyFill="1" applyBorder="1" applyAlignment="1">
      <alignment horizontal="right"/>
    </xf>
    <xf numFmtId="183" fontId="5" fillId="4" borderId="17" xfId="0" applyNumberFormat="1" applyFont="1" applyFill="1" applyBorder="1" applyAlignment="1">
      <alignment horizontal="right"/>
    </xf>
    <xf numFmtId="183" fontId="5" fillId="4" borderId="4" xfId="0" applyNumberFormat="1" applyFont="1" applyFill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23" fillId="0" borderId="3" xfId="0" applyNumberFormat="1" applyFont="1" applyBorder="1" applyAlignment="1">
      <alignment horizontal="right"/>
    </xf>
    <xf numFmtId="181" fontId="5" fillId="0" borderId="3" xfId="0" applyNumberFormat="1" applyFont="1" applyBorder="1" applyAlignment="1">
      <alignment horizontal="right"/>
    </xf>
    <xf numFmtId="181" fontId="5" fillId="0" borderId="7" xfId="0" applyNumberFormat="1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81" fontId="23" fillId="0" borderId="4" xfId="0" applyNumberFormat="1" applyFont="1" applyBorder="1" applyAlignment="1">
      <alignment horizontal="right"/>
    </xf>
    <xf numFmtId="181" fontId="5" fillId="0" borderId="4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77" fontId="5" fillId="0" borderId="3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181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81" fontId="23" fillId="0" borderId="5" xfId="0" applyNumberFormat="1" applyFont="1" applyBorder="1" applyAlignment="1">
      <alignment horizontal="right"/>
    </xf>
    <xf numFmtId="179" fontId="5" fillId="0" borderId="28" xfId="0" applyNumberFormat="1" applyFont="1" applyBorder="1" applyAlignment="1">
      <alignment horizontal="right"/>
    </xf>
    <xf numFmtId="179" fontId="5" fillId="0" borderId="29" xfId="0" applyNumberFormat="1" applyFont="1" applyBorder="1" applyAlignment="1">
      <alignment horizontal="right"/>
    </xf>
    <xf numFmtId="183" fontId="5" fillId="0" borderId="62" xfId="0" applyNumberFormat="1" applyFont="1" applyBorder="1" applyAlignment="1">
      <alignment horizontal="right"/>
    </xf>
    <xf numFmtId="183" fontId="5" fillId="0" borderId="23" xfId="0" applyNumberFormat="1" applyFont="1" applyBorder="1" applyAlignment="1">
      <alignment horizontal="right"/>
    </xf>
    <xf numFmtId="179" fontId="7" fillId="0" borderId="20" xfId="0" applyNumberFormat="1" applyFont="1" applyBorder="1" applyAlignment="1">
      <alignment horizontal="right"/>
    </xf>
    <xf numFmtId="181" fontId="5" fillId="3" borderId="2" xfId="0" applyNumberFormat="1" applyFont="1" applyFill="1" applyBorder="1" applyAlignment="1">
      <alignment horizontal="right"/>
    </xf>
    <xf numFmtId="181" fontId="5" fillId="0" borderId="2" xfId="0" applyNumberFormat="1" applyFont="1" applyBorder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45" xfId="0" applyNumberFormat="1" applyFont="1" applyBorder="1" applyAlignment="1">
      <alignment horizontal="right"/>
    </xf>
    <xf numFmtId="183" fontId="5" fillId="0" borderId="55" xfId="0" applyNumberFormat="1" applyFont="1" applyBorder="1" applyAlignment="1">
      <alignment horizontal="right"/>
    </xf>
    <xf numFmtId="183" fontId="5" fillId="0" borderId="16" xfId="0" applyNumberFormat="1" applyFont="1" applyBorder="1" applyAlignment="1">
      <alignment horizontal="right"/>
    </xf>
    <xf numFmtId="181" fontId="5" fillId="0" borderId="17" xfId="0" applyNumberFormat="1" applyFont="1" applyBorder="1" applyAlignment="1">
      <alignment horizontal="right"/>
    </xf>
    <xf numFmtId="182" fontId="5" fillId="0" borderId="36" xfId="0" applyNumberFormat="1" applyFont="1" applyBorder="1" applyAlignment="1">
      <alignment horizontal="right"/>
    </xf>
    <xf numFmtId="182" fontId="5" fillId="0" borderId="16" xfId="0" applyNumberFormat="1" applyFont="1" applyBorder="1" applyAlignment="1">
      <alignment horizontal="right"/>
    </xf>
    <xf numFmtId="183" fontId="5" fillId="0" borderId="52" xfId="0" applyNumberFormat="1" applyFont="1" applyBorder="1" applyAlignment="1">
      <alignment horizontal="right"/>
    </xf>
    <xf numFmtId="183" fontId="5" fillId="0" borderId="36" xfId="0" applyNumberFormat="1" applyFont="1" applyBorder="1" applyAlignment="1">
      <alignment horizontal="right"/>
    </xf>
    <xf numFmtId="183" fontId="5" fillId="0" borderId="55" xfId="0" applyNumberFormat="1" applyFont="1" applyBorder="1" applyAlignment="1">
      <alignment horizontal="center"/>
    </xf>
    <xf numFmtId="183" fontId="5" fillId="0" borderId="16" xfId="0" applyNumberFormat="1" applyFont="1" applyBorder="1" applyAlignment="1">
      <alignment horizontal="center"/>
    </xf>
    <xf numFmtId="183" fontId="5" fillId="0" borderId="13" xfId="0" applyNumberFormat="1" applyFont="1" applyBorder="1" applyAlignment="1">
      <alignment horizontal="right"/>
    </xf>
    <xf numFmtId="183" fontId="5" fillId="0" borderId="3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59" xfId="0" applyFont="1" applyBorder="1" applyAlignment="1">
      <alignment horizontal="right"/>
    </xf>
    <xf numFmtId="179" fontId="5" fillId="4" borderId="3" xfId="0" applyNumberFormat="1" applyFont="1" applyFill="1" applyBorder="1" applyAlignment="1">
      <alignment horizontal="right"/>
    </xf>
    <xf numFmtId="179" fontId="5" fillId="4" borderId="5" xfId="0" applyNumberFormat="1" applyFont="1" applyFill="1" applyBorder="1" applyAlignment="1">
      <alignment horizontal="right"/>
    </xf>
    <xf numFmtId="181" fontId="23" fillId="0" borderId="1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/>
    </xf>
    <xf numFmtId="181" fontId="5" fillId="0" borderId="40" xfId="0" applyNumberFormat="1" applyFont="1" applyBorder="1" applyAlignment="1">
      <alignment horizontal="right"/>
    </xf>
    <xf numFmtId="179" fontId="5" fillId="0" borderId="39" xfId="0" applyNumberFormat="1" applyFont="1" applyBorder="1" applyAlignment="1">
      <alignment horizontal="right"/>
    </xf>
    <xf numFmtId="179" fontId="5" fillId="0" borderId="63" xfId="0" applyNumberFormat="1" applyFont="1" applyBorder="1" applyAlignment="1">
      <alignment horizontal="right"/>
    </xf>
    <xf numFmtId="179" fontId="5" fillId="0" borderId="20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183" fontId="5" fillId="0" borderId="64" xfId="0" applyNumberFormat="1" applyFont="1" applyBorder="1" applyAlignment="1">
      <alignment horizontal="right"/>
    </xf>
    <xf numFmtId="183" fontId="5" fillId="0" borderId="39" xfId="0" applyNumberFormat="1" applyFont="1" applyBorder="1" applyAlignment="1">
      <alignment horizontal="right"/>
    </xf>
    <xf numFmtId="179" fontId="5" fillId="0" borderId="41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79" fontId="5" fillId="0" borderId="62" xfId="0" applyNumberFormat="1" applyFont="1" applyBorder="1" applyAlignment="1">
      <alignment horizontal="right"/>
    </xf>
    <xf numFmtId="183" fontId="5" fillId="0" borderId="28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4" fontId="5" fillId="0" borderId="28" xfId="0" applyNumberFormat="1" applyFont="1" applyBorder="1" applyAlignment="1">
      <alignment horizontal="center"/>
    </xf>
    <xf numFmtId="184" fontId="5" fillId="0" borderId="29" xfId="0" applyNumberFormat="1" applyFont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79" fontId="5" fillId="0" borderId="31" xfId="0" applyNumberFormat="1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9" fontId="5" fillId="0" borderId="42" xfId="0" applyNumberFormat="1" applyFont="1" applyBorder="1" applyAlignment="1">
      <alignment horizontal="right"/>
    </xf>
    <xf numFmtId="179" fontId="5" fillId="0" borderId="43" xfId="0" applyNumberFormat="1" applyFont="1" applyBorder="1" applyAlignment="1">
      <alignment horizontal="right"/>
    </xf>
    <xf numFmtId="179" fontId="24" fillId="0" borderId="5" xfId="0" applyNumberFormat="1" applyFont="1" applyBorder="1" applyAlignment="1">
      <alignment horizontal="right"/>
    </xf>
    <xf numFmtId="177" fontId="7" fillId="0" borderId="5" xfId="0" applyNumberFormat="1" applyFont="1" applyBorder="1" applyAlignment="1">
      <alignment horizontal="center"/>
    </xf>
    <xf numFmtId="179" fontId="24" fillId="0" borderId="2" xfId="0" applyNumberFormat="1" applyFont="1" applyBorder="1" applyAlignment="1">
      <alignment horizontal="right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79" fontId="24" fillId="0" borderId="13" xfId="0" applyNumberFormat="1" applyFont="1" applyBorder="1" applyAlignment="1">
      <alignment horizontal="right"/>
    </xf>
    <xf numFmtId="179" fontId="24" fillId="0" borderId="3" xfId="0" applyNumberFormat="1" applyFont="1" applyBorder="1" applyAlignment="1">
      <alignment horizontal="right"/>
    </xf>
    <xf numFmtId="179" fontId="24" fillId="0" borderId="7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right"/>
    </xf>
    <xf numFmtId="179" fontId="5" fillId="4" borderId="33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82" fontId="5" fillId="0" borderId="6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179" fontId="24" fillId="0" borderId="4" xfId="0" applyNumberFormat="1" applyFont="1" applyBorder="1" applyAlignment="1">
      <alignment horizontal="left"/>
    </xf>
    <xf numFmtId="179" fontId="7" fillId="0" borderId="5" xfId="0" applyNumberFormat="1" applyFont="1" applyBorder="1" applyAlignment="1">
      <alignment horizontal="left"/>
    </xf>
    <xf numFmtId="179" fontId="7" fillId="0" borderId="1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0" fontId="24" fillId="0" borderId="1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183" fontId="5" fillId="0" borderId="7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81" fontId="5" fillId="0" borderId="20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179" fontId="18" fillId="0" borderId="1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82" fontId="5" fillId="0" borderId="51" xfId="0" applyNumberFormat="1" applyFont="1" applyBorder="1" applyAlignment="1">
      <alignment horizontal="right"/>
    </xf>
    <xf numFmtId="182" fontId="5" fillId="0" borderId="50" xfId="0" applyNumberFormat="1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9" fontId="23" fillId="0" borderId="0" xfId="0" applyNumberFormat="1" applyFont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81" fontId="5" fillId="0" borderId="9" xfId="0" applyNumberFormat="1" applyFont="1" applyBorder="1" applyAlignment="1">
      <alignment horizontal="center"/>
    </xf>
    <xf numFmtId="181" fontId="23" fillId="0" borderId="0" xfId="0" applyNumberFormat="1" applyFont="1" applyBorder="1" applyAlignment="1">
      <alignment horizontal="right"/>
    </xf>
    <xf numFmtId="181" fontId="33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right"/>
    </xf>
    <xf numFmtId="179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0</xdr:rowOff>
    </xdr:from>
    <xdr:to>
      <xdr:col>33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81875" y="323850"/>
          <a:ext cx="476250" cy="1619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38100</xdr:rowOff>
    </xdr:from>
    <xdr:to>
      <xdr:col>34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58125" y="200025"/>
          <a:ext cx="238125" cy="2857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0</xdr:rowOff>
    </xdr:from>
    <xdr:to>
      <xdr:col>33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81875" y="323850"/>
          <a:ext cx="476250" cy="1619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38100</xdr:rowOff>
    </xdr:from>
    <xdr:to>
      <xdr:col>34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58125" y="200025"/>
          <a:ext cx="238125" cy="2857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0</xdr:rowOff>
    </xdr:from>
    <xdr:to>
      <xdr:col>33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81875" y="323850"/>
          <a:ext cx="476250" cy="1619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38100</xdr:rowOff>
    </xdr:from>
    <xdr:to>
      <xdr:col>34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58125" y="200025"/>
          <a:ext cx="238125" cy="2857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13</xdr:row>
      <xdr:rowOff>0</xdr:rowOff>
    </xdr:from>
    <xdr:to>
      <xdr:col>32</xdr:col>
      <xdr:colOff>190500</xdr:colOff>
      <xdr:row>14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1050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0</xdr:colOff>
      <xdr:row>19</xdr:row>
      <xdr:rowOff>0</xdr:rowOff>
    </xdr:from>
    <xdr:to>
      <xdr:col>32</xdr:col>
      <xdr:colOff>190500</xdr:colOff>
      <xdr:row>20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0765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0</xdr:colOff>
      <xdr:row>30</xdr:row>
      <xdr:rowOff>0</xdr:rowOff>
    </xdr:from>
    <xdr:to>
      <xdr:col>32</xdr:col>
      <xdr:colOff>190500</xdr:colOff>
      <xdr:row>31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8577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144</xdr:row>
      <xdr:rowOff>0</xdr:rowOff>
    </xdr:from>
    <xdr:to>
      <xdr:col>6</xdr:col>
      <xdr:colOff>0</xdr:colOff>
      <xdr:row>145</xdr:row>
      <xdr:rowOff>9525</xdr:rowOff>
    </xdr:to>
    <xdr:pic>
      <xdr:nvPicPr>
        <xdr:cNvPr id="4" name="ComboBox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233172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135</xdr:row>
      <xdr:rowOff>152400</xdr:rowOff>
    </xdr:from>
    <xdr:to>
      <xdr:col>18</xdr:col>
      <xdr:colOff>0</xdr:colOff>
      <xdr:row>137</xdr:row>
      <xdr:rowOff>0</xdr:rowOff>
    </xdr:to>
    <xdr:pic>
      <xdr:nvPicPr>
        <xdr:cNvPr id="5" name="ComboBox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220122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162</xdr:row>
      <xdr:rowOff>0</xdr:rowOff>
    </xdr:from>
    <xdr:to>
      <xdr:col>5</xdr:col>
      <xdr:colOff>0</xdr:colOff>
      <xdr:row>163</xdr:row>
      <xdr:rowOff>9525</xdr:rowOff>
    </xdr:to>
    <xdr:pic>
      <xdr:nvPicPr>
        <xdr:cNvPr id="6" name="ComboBox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262318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171450</xdr:colOff>
      <xdr:row>144</xdr:row>
      <xdr:rowOff>57150</xdr:rowOff>
    </xdr:from>
    <xdr:to>
      <xdr:col>23</xdr:col>
      <xdr:colOff>123825</xdr:colOff>
      <xdr:row>145</xdr:row>
      <xdr:rowOff>66675</xdr:rowOff>
    </xdr:to>
    <xdr:pic>
      <xdr:nvPicPr>
        <xdr:cNvPr id="7" name="ComboBox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67325" y="23374350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146</xdr:row>
      <xdr:rowOff>0</xdr:rowOff>
    </xdr:from>
    <xdr:to>
      <xdr:col>5</xdr:col>
      <xdr:colOff>0</xdr:colOff>
      <xdr:row>147</xdr:row>
      <xdr:rowOff>9525</xdr:rowOff>
    </xdr:to>
    <xdr:pic>
      <xdr:nvPicPr>
        <xdr:cNvPr id="8" name="ComboBox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236410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14</xdr:row>
      <xdr:rowOff>0</xdr:rowOff>
    </xdr:from>
    <xdr:to>
      <xdr:col>33</xdr:col>
      <xdr:colOff>0</xdr:colOff>
      <xdr:row>15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0</xdr:rowOff>
    </xdr:from>
    <xdr:to>
      <xdr:col>33</xdr:col>
      <xdr:colOff>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381875" y="323850"/>
          <a:ext cx="476250" cy="1619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38100</xdr:rowOff>
    </xdr:from>
    <xdr:to>
      <xdr:col>34</xdr:col>
      <xdr:colOff>0</xdr:colOff>
      <xdr:row>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858125" y="200025"/>
          <a:ext cx="238125" cy="2857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dders.co.kr" TargetMode="External" /><Relationship Id="rId2" Type="http://schemas.openxmlformats.org/officeDocument/2006/relationships/hyperlink" Target="http://www.dders.co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F63"/>
  <sheetViews>
    <sheetView zoomScaleSheetLayoutView="100" workbookViewId="0" topLeftCell="A1">
      <selection activeCell="S7" sqref="S7"/>
    </sheetView>
  </sheetViews>
  <sheetFormatPr defaultColWidth="8.88671875" defaultRowHeight="13.5"/>
  <cols>
    <col min="1" max="28" width="2.77734375" style="1" customWidth="1"/>
    <col min="29" max="38" width="2.77734375" style="268" customWidth="1"/>
    <col min="39" max="52" width="2.77734375" style="1" customWidth="1"/>
    <col min="53" max="16384" width="8.88671875" style="1" customWidth="1"/>
  </cols>
  <sheetData>
    <row r="1" spans="1:32" ht="11.25" customHeight="1">
      <c r="A1" s="322" t="s">
        <v>171</v>
      </c>
      <c r="B1" s="322"/>
      <c r="C1" s="322"/>
      <c r="D1" s="322"/>
      <c r="E1" s="322"/>
      <c r="F1" s="322"/>
      <c r="G1" s="322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66"/>
      <c r="AD1" s="267"/>
      <c r="AE1" s="267"/>
      <c r="AF1" s="267"/>
    </row>
    <row r="2" spans="1:29" ht="11.25" customHeight="1">
      <c r="A2" s="323"/>
      <c r="B2" s="323"/>
      <c r="C2" s="323"/>
      <c r="D2" s="323"/>
      <c r="E2" s="323"/>
      <c r="F2" s="323"/>
      <c r="G2" s="32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269"/>
    </row>
    <row r="3" spans="1:32" ht="11.25" customHeight="1">
      <c r="A3" s="316" t="s">
        <v>172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270"/>
      <c r="AD3" s="267"/>
      <c r="AE3" s="267"/>
      <c r="AF3" s="267"/>
    </row>
    <row r="4" spans="1:32" ht="11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270"/>
      <c r="AD4" s="267"/>
      <c r="AE4" s="267"/>
      <c r="AF4" s="267"/>
    </row>
    <row r="5" spans="1:32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5" t="s">
        <v>161</v>
      </c>
      <c r="V5" s="6"/>
      <c r="W5" s="6"/>
      <c r="X5" s="315" t="s">
        <v>191</v>
      </c>
      <c r="Y5" s="315"/>
      <c r="Z5" s="315"/>
      <c r="AA5" s="315"/>
      <c r="AB5" s="315"/>
      <c r="AC5" s="266"/>
      <c r="AD5" s="267"/>
      <c r="AE5" s="267"/>
      <c r="AF5" s="267"/>
    </row>
    <row r="6" spans="1:32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 t="s">
        <v>162</v>
      </c>
      <c r="V6" s="6"/>
      <c r="W6" s="6"/>
      <c r="X6" s="315" t="s">
        <v>182</v>
      </c>
      <c r="Y6" s="315"/>
      <c r="Z6" s="315"/>
      <c r="AA6" s="315"/>
      <c r="AB6" s="315"/>
      <c r="AC6" s="266"/>
      <c r="AD6" s="267"/>
      <c r="AE6" s="267"/>
      <c r="AF6" s="267"/>
    </row>
    <row r="7" spans="1:32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155</v>
      </c>
      <c r="V7" s="6"/>
      <c r="W7" s="6"/>
      <c r="X7" s="74">
        <v>0</v>
      </c>
      <c r="Y7" s="201"/>
      <c r="Z7" s="218"/>
      <c r="AA7" s="218"/>
      <c r="AB7" s="218"/>
      <c r="AC7" s="266"/>
      <c r="AD7" s="267"/>
      <c r="AE7" s="267"/>
      <c r="AF7" s="267"/>
    </row>
    <row r="8" spans="1:29" ht="11.25" customHeight="1">
      <c r="A8" s="5"/>
      <c r="B8" s="271" t="s">
        <v>249</v>
      </c>
      <c r="C8" s="272" t="s">
        <v>163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164</v>
      </c>
      <c r="V8" s="6"/>
      <c r="W8" s="6"/>
      <c r="X8" s="6"/>
      <c r="Y8" s="210">
        <v>1</v>
      </c>
      <c r="Z8" s="74" t="s">
        <v>165</v>
      </c>
      <c r="AA8" s="207">
        <v>1</v>
      </c>
      <c r="AB8" s="74"/>
      <c r="AC8" s="269"/>
    </row>
    <row r="9" spans="1:29" ht="11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6"/>
      <c r="Z9" s="6"/>
      <c r="AA9" s="6"/>
      <c r="AB9" s="6"/>
      <c r="AC9" s="269"/>
    </row>
    <row r="10" spans="1:29" ht="11.25" customHeight="1">
      <c r="A10" s="2"/>
      <c r="B10" s="2"/>
      <c r="C10" s="2" t="s">
        <v>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"/>
      <c r="W10" s="6"/>
      <c r="X10" s="6"/>
      <c r="Y10" s="6"/>
      <c r="Z10" s="6"/>
      <c r="AA10" s="6"/>
      <c r="AB10" s="6"/>
      <c r="AC10" s="269"/>
    </row>
    <row r="11" spans="1:29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"/>
      <c r="W11" s="6"/>
      <c r="X11" s="6"/>
      <c r="Y11" s="6"/>
      <c r="Z11" s="6"/>
      <c r="AA11" s="6"/>
      <c r="AB11" s="6"/>
      <c r="AC11" s="269"/>
    </row>
    <row r="12" spans="1:29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6"/>
      <c r="W12" s="6"/>
      <c r="X12" s="6"/>
      <c r="Y12" s="6"/>
      <c r="Z12" s="6"/>
      <c r="AA12" s="6"/>
      <c r="AB12" s="6"/>
      <c r="AC12" s="269"/>
    </row>
    <row r="13" spans="1:29" ht="11.25" customHeight="1">
      <c r="A13" s="2"/>
      <c r="B13" s="271" t="s">
        <v>250</v>
      </c>
      <c r="C13" s="272" t="s">
        <v>166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/>
      <c r="W13" s="6"/>
      <c r="X13" s="6"/>
      <c r="Y13" s="6"/>
      <c r="Z13" s="6"/>
      <c r="AA13" s="6"/>
      <c r="AB13" s="6"/>
      <c r="AC13" s="269"/>
    </row>
    <row r="14" spans="1:29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/>
      <c r="W14" s="6"/>
      <c r="X14" s="6"/>
      <c r="Y14" s="6"/>
      <c r="Z14" s="6"/>
      <c r="AA14" s="6"/>
      <c r="AB14" s="6"/>
      <c r="AC14" s="269"/>
    </row>
    <row r="15" spans="1:29" ht="11.25" customHeight="1">
      <c r="A15" s="5"/>
      <c r="B15" s="5"/>
      <c r="C15" s="5" t="s">
        <v>167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6"/>
      <c r="Z15" s="6"/>
      <c r="AA15" s="6"/>
      <c r="AB15" s="6"/>
      <c r="AC15" s="269"/>
    </row>
    <row r="16" spans="1:2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1.25" customHeight="1">
      <c r="A17" s="2"/>
      <c r="B17" s="2"/>
      <c r="C17" s="273" t="s">
        <v>173</v>
      </c>
      <c r="D17" s="2"/>
      <c r="E17" s="2"/>
      <c r="F17" s="2"/>
      <c r="G17" s="2" t="s">
        <v>470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9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/>
      <c r="W18" s="6"/>
      <c r="X18" s="6"/>
      <c r="Y18" s="6"/>
      <c r="Z18" s="6"/>
      <c r="AA18" s="6"/>
      <c r="AB18" s="6"/>
      <c r="AC18" s="269"/>
    </row>
    <row r="19" spans="1:21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25" customHeight="1">
      <c r="A20" s="2"/>
      <c r="B20" s="271" t="s">
        <v>251</v>
      </c>
      <c r="C20" s="272" t="s">
        <v>168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6" ht="11.25" customHeight="1">
      <c r="A22" s="2"/>
      <c r="B22" s="2"/>
      <c r="C22" s="318" t="s">
        <v>238</v>
      </c>
      <c r="D22" s="318"/>
      <c r="E22" s="318"/>
      <c r="F22" s="318"/>
      <c r="G22" s="318"/>
      <c r="H22" s="318"/>
      <c r="I22" s="318"/>
      <c r="J22" s="314" t="s">
        <v>162</v>
      </c>
      <c r="K22" s="318"/>
      <c r="L22" s="313"/>
      <c r="M22" s="314" t="s">
        <v>155</v>
      </c>
      <c r="N22" s="318"/>
      <c r="O22" s="313"/>
      <c r="P22" s="318" t="s">
        <v>248</v>
      </c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 ht="11.25" customHeight="1">
      <c r="A23" s="2"/>
      <c r="B23" s="2"/>
      <c r="C23" s="31" t="s">
        <v>169</v>
      </c>
      <c r="D23" s="31"/>
      <c r="E23" s="31"/>
      <c r="F23" s="31"/>
      <c r="G23" s="31"/>
      <c r="H23" s="31"/>
      <c r="I23" s="31"/>
      <c r="J23" s="336" t="s">
        <v>471</v>
      </c>
      <c r="K23" s="337"/>
      <c r="L23" s="337"/>
      <c r="M23" s="319">
        <v>0</v>
      </c>
      <c r="N23" s="320"/>
      <c r="O23" s="32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1.25" customHeight="1">
      <c r="A24" s="2"/>
      <c r="B24" s="2"/>
      <c r="C24" s="127"/>
      <c r="D24" s="32"/>
      <c r="E24" s="32"/>
      <c r="F24" s="32"/>
      <c r="G24" s="32"/>
      <c r="H24" s="32"/>
      <c r="I24" s="32"/>
      <c r="J24" s="326"/>
      <c r="K24" s="327"/>
      <c r="L24" s="327"/>
      <c r="M24" s="328"/>
      <c r="N24" s="329"/>
      <c r="O24" s="330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1.25" customHeight="1">
      <c r="A25" s="2"/>
      <c r="B25" s="2"/>
      <c r="C25" s="127"/>
      <c r="D25" s="127"/>
      <c r="E25" s="127"/>
      <c r="F25" s="127"/>
      <c r="G25" s="127"/>
      <c r="H25" s="127"/>
      <c r="I25" s="127"/>
      <c r="J25" s="326"/>
      <c r="K25" s="327"/>
      <c r="L25" s="327"/>
      <c r="M25" s="328"/>
      <c r="N25" s="329"/>
      <c r="O25" s="330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1.25" customHeight="1">
      <c r="A26" s="2"/>
      <c r="B26" s="2"/>
      <c r="C26" s="127"/>
      <c r="D26" s="127"/>
      <c r="E26" s="127"/>
      <c r="F26" s="127"/>
      <c r="G26" s="127"/>
      <c r="H26" s="127"/>
      <c r="I26" s="127"/>
      <c r="J26" s="326"/>
      <c r="K26" s="327"/>
      <c r="L26" s="327"/>
      <c r="M26" s="328"/>
      <c r="N26" s="329"/>
      <c r="O26" s="330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1.25" customHeight="1">
      <c r="A27" s="2"/>
      <c r="B27" s="2"/>
      <c r="C27" s="32"/>
      <c r="D27" s="32"/>
      <c r="E27" s="32"/>
      <c r="F27" s="32"/>
      <c r="G27" s="32"/>
      <c r="H27" s="32"/>
      <c r="I27" s="32"/>
      <c r="J27" s="326"/>
      <c r="K27" s="327"/>
      <c r="L27" s="327"/>
      <c r="M27" s="328"/>
      <c r="N27" s="329"/>
      <c r="O27" s="330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1.25" customHeight="1">
      <c r="A28" s="2"/>
      <c r="B28" s="2"/>
      <c r="C28" s="32"/>
      <c r="D28" s="32"/>
      <c r="E28" s="32"/>
      <c r="F28" s="32"/>
      <c r="G28" s="32"/>
      <c r="H28" s="32"/>
      <c r="I28" s="32"/>
      <c r="J28" s="326"/>
      <c r="K28" s="327"/>
      <c r="L28" s="327"/>
      <c r="M28" s="328"/>
      <c r="N28" s="329"/>
      <c r="O28" s="330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1.25" customHeight="1">
      <c r="A29" s="2"/>
      <c r="B29" s="2"/>
      <c r="C29" s="33"/>
      <c r="D29" s="33"/>
      <c r="E29" s="33"/>
      <c r="F29" s="33"/>
      <c r="G29" s="33"/>
      <c r="H29" s="33"/>
      <c r="I29" s="33"/>
      <c r="J29" s="331"/>
      <c r="K29" s="332"/>
      <c r="L29" s="332"/>
      <c r="M29" s="333"/>
      <c r="N29" s="334"/>
      <c r="O29" s="335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1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25" customHeight="1">
      <c r="A32" s="2"/>
      <c r="B32" s="271" t="s">
        <v>252</v>
      </c>
      <c r="C32" s="272" t="s">
        <v>170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9" ht="11.25" customHeight="1">
      <c r="A34" s="5"/>
      <c r="B34" s="5"/>
      <c r="C34" s="272" t="s">
        <v>156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6"/>
      <c r="Z34" s="6"/>
      <c r="AA34" s="6"/>
      <c r="AB34" s="6"/>
      <c r="AC34" s="269"/>
    </row>
    <row r="35" spans="1:2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9" ht="11.25" customHeight="1">
      <c r="A36" s="5"/>
      <c r="B36" s="5"/>
      <c r="C36" s="5"/>
      <c r="D36" s="5" t="s">
        <v>174</v>
      </c>
      <c r="E36" s="5"/>
      <c r="F36" s="5"/>
      <c r="G36" s="5"/>
      <c r="H36" s="5"/>
      <c r="I36" s="5"/>
      <c r="J36" s="5"/>
      <c r="K36" s="5"/>
      <c r="L36" s="5" t="s">
        <v>175</v>
      </c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6"/>
      <c r="Y36" s="6"/>
      <c r="Z36" s="6"/>
      <c r="AA36" s="6"/>
      <c r="AB36" s="6"/>
      <c r="AC36" s="269"/>
    </row>
    <row r="37" spans="1:21" ht="11.25" customHeight="1">
      <c r="A37" s="2"/>
      <c r="B37" s="2"/>
      <c r="C37" s="5"/>
      <c r="D37" s="5" t="s">
        <v>176</v>
      </c>
      <c r="E37" s="5"/>
      <c r="F37" s="5"/>
      <c r="G37" s="5"/>
      <c r="H37" s="5"/>
      <c r="I37" s="5"/>
      <c r="J37" s="5"/>
      <c r="K37" s="5"/>
      <c r="L37" s="5" t="s">
        <v>157</v>
      </c>
      <c r="M37" s="2"/>
      <c r="N37" s="2"/>
      <c r="O37" s="2"/>
      <c r="P37" s="2"/>
      <c r="Q37" s="2"/>
      <c r="R37" s="2"/>
      <c r="S37" s="2"/>
      <c r="T37" s="2"/>
      <c r="U37" s="2"/>
    </row>
    <row r="38" spans="1:21" ht="11.25" customHeight="1">
      <c r="A38" s="2"/>
      <c r="B38" s="2"/>
      <c r="C38" s="5"/>
      <c r="D38" s="5" t="s">
        <v>177</v>
      </c>
      <c r="E38" s="5"/>
      <c r="F38" s="5"/>
      <c r="G38" s="5"/>
      <c r="H38" s="5"/>
      <c r="I38" s="5"/>
      <c r="J38" s="5"/>
      <c r="K38" s="5"/>
      <c r="L38" s="5" t="s">
        <v>178</v>
      </c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>
      <c r="A39" s="2"/>
      <c r="B39" s="2"/>
      <c r="C39" s="5"/>
      <c r="D39" s="5" t="s">
        <v>179</v>
      </c>
      <c r="E39" s="5"/>
      <c r="F39" s="5"/>
      <c r="G39" s="5"/>
      <c r="H39" s="5"/>
      <c r="I39" s="5"/>
      <c r="J39" s="5"/>
      <c r="K39" s="5"/>
      <c r="L39" s="5" t="s">
        <v>180</v>
      </c>
      <c r="M39" s="2"/>
      <c r="N39" s="2"/>
      <c r="O39" s="2"/>
      <c r="P39" s="2"/>
      <c r="Q39" s="2"/>
      <c r="R39" s="2"/>
      <c r="S39" s="2"/>
      <c r="T39" s="2"/>
      <c r="U39" s="2"/>
    </row>
    <row r="40" spans="1:29" ht="11.25" customHeight="1">
      <c r="A40" s="5"/>
      <c r="B40" s="5"/>
      <c r="C40" s="5"/>
      <c r="D40" s="5" t="s">
        <v>181</v>
      </c>
      <c r="E40" s="5"/>
      <c r="F40" s="5"/>
      <c r="G40" s="5"/>
      <c r="H40" s="5"/>
      <c r="I40" s="5"/>
      <c r="J40" s="5"/>
      <c r="K40" s="5"/>
      <c r="L40" s="5" t="s">
        <v>158</v>
      </c>
      <c r="M40" s="2"/>
      <c r="N40" s="2"/>
      <c r="O40" s="2"/>
      <c r="P40" s="5"/>
      <c r="Q40" s="5"/>
      <c r="R40" s="5"/>
      <c r="S40" s="5"/>
      <c r="T40" s="5"/>
      <c r="U40" s="5"/>
      <c r="V40" s="6"/>
      <c r="W40" s="6"/>
      <c r="X40" s="6"/>
      <c r="Y40" s="6"/>
      <c r="Z40" s="6"/>
      <c r="AA40" s="6"/>
      <c r="AB40" s="6"/>
      <c r="AC40" s="269"/>
    </row>
    <row r="41" spans="1:21" ht="11.25" customHeight="1">
      <c r="A41" s="2"/>
      <c r="B41" s="2"/>
      <c r="C41" s="5"/>
      <c r="D41" s="5" t="s">
        <v>183</v>
      </c>
      <c r="E41" s="5"/>
      <c r="F41" s="5"/>
      <c r="G41" s="5"/>
      <c r="H41" s="5"/>
      <c r="I41" s="5"/>
      <c r="J41" s="5"/>
      <c r="K41" s="5"/>
      <c r="L41" s="5" t="s">
        <v>184</v>
      </c>
      <c r="M41" s="2"/>
      <c r="N41" s="2"/>
      <c r="O41" s="2"/>
      <c r="P41" s="2"/>
      <c r="Q41" s="2"/>
      <c r="R41" s="2"/>
      <c r="S41" s="2"/>
      <c r="T41" s="2"/>
      <c r="U41" s="2"/>
    </row>
    <row r="42" spans="1:29" ht="11.25" customHeight="1">
      <c r="A42" s="5"/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74"/>
    </row>
    <row r="43" spans="1:2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9" ht="11.25" customHeight="1">
      <c r="A44" s="5"/>
      <c r="B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  <c r="AA44" s="6"/>
      <c r="AB44" s="6"/>
      <c r="AC44" s="269"/>
    </row>
    <row r="45" spans="1:21" ht="11.25" customHeight="1">
      <c r="A45" s="2"/>
      <c r="B45" s="2"/>
      <c r="M45" s="2"/>
      <c r="N45" s="2"/>
      <c r="O45" s="2"/>
      <c r="P45" s="2"/>
      <c r="Q45" s="2"/>
      <c r="R45" s="2"/>
      <c r="S45" s="2"/>
      <c r="T45" s="2"/>
      <c r="U45" s="2"/>
    </row>
    <row r="46" spans="1:29" ht="11.25" customHeight="1">
      <c r="A46" s="5"/>
      <c r="B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74"/>
    </row>
    <row r="47" spans="1:29" ht="11.25" customHeight="1">
      <c r="A47" s="5"/>
      <c r="B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74"/>
    </row>
    <row r="48" spans="1:29" ht="11.25" customHeight="1">
      <c r="A48" s="5"/>
      <c r="B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74"/>
    </row>
    <row r="49" spans="1:29" ht="11.25" customHeight="1">
      <c r="A49" s="5"/>
      <c r="B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74"/>
    </row>
    <row r="50" spans="1:29" ht="11.25" customHeight="1">
      <c r="A50" s="5"/>
      <c r="B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74"/>
    </row>
    <row r="51" spans="1:29" ht="11.25" customHeight="1">
      <c r="A51" s="5"/>
      <c r="B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74"/>
    </row>
    <row r="52" spans="1:29" ht="11.25" customHeight="1">
      <c r="A52" s="5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74"/>
    </row>
    <row r="53" spans="1:29" ht="11.25" customHeight="1">
      <c r="A53" s="5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74"/>
    </row>
    <row r="54" spans="1:2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9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74"/>
    </row>
    <row r="56" spans="1:29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74"/>
    </row>
    <row r="57" spans="1:29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74"/>
    </row>
    <row r="58" spans="1:29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74"/>
    </row>
    <row r="59" spans="1:2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74"/>
    </row>
    <row r="60" spans="1:29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74"/>
    </row>
    <row r="61" spans="1:29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74"/>
    </row>
    <row r="62" spans="1:30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74"/>
      <c r="AD62" s="276"/>
    </row>
    <row r="63" spans="1:30" ht="11.25" customHeight="1">
      <c r="A63" s="2" t="str">
        <f>cosymbol</f>
        <v> NTES</v>
      </c>
      <c r="AB63" s="183" t="str">
        <f>coname</f>
        <v>Narai Thermal Engineering Services </v>
      </c>
      <c r="AC63" s="276"/>
      <c r="AD63" s="276"/>
    </row>
    <row r="64" ht="11.25" customHeight="1"/>
    <row r="111" ht="13.5" customHeight="1"/>
    <row r="112" ht="13.5" customHeight="1"/>
  </sheetData>
  <mergeCells count="22">
    <mergeCell ref="X5:AB5"/>
    <mergeCell ref="X6:AB6"/>
    <mergeCell ref="A3:AB4"/>
    <mergeCell ref="J22:L22"/>
    <mergeCell ref="M22:O22"/>
    <mergeCell ref="P22:Z22"/>
    <mergeCell ref="J23:L23"/>
    <mergeCell ref="M23:O23"/>
    <mergeCell ref="A1:G2"/>
    <mergeCell ref="C22:I22"/>
    <mergeCell ref="J24:L24"/>
    <mergeCell ref="M24:O24"/>
    <mergeCell ref="J27:L27"/>
    <mergeCell ref="M27:O27"/>
    <mergeCell ref="J26:L26"/>
    <mergeCell ref="M26:O26"/>
    <mergeCell ref="J25:L25"/>
    <mergeCell ref="M25:O25"/>
    <mergeCell ref="J28:L28"/>
    <mergeCell ref="M28:O28"/>
    <mergeCell ref="J29:L29"/>
    <mergeCell ref="M29:O29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F60"/>
  <sheetViews>
    <sheetView zoomScaleSheetLayoutView="100" workbookViewId="0" topLeftCell="A1">
      <selection activeCell="S5" sqref="S5"/>
    </sheetView>
  </sheetViews>
  <sheetFormatPr defaultColWidth="8.88671875" defaultRowHeight="13.5"/>
  <cols>
    <col min="1" max="78" width="2.77734375" style="1" customWidth="1"/>
    <col min="79" max="16384" width="8.88671875" style="1" customWidth="1"/>
  </cols>
  <sheetData>
    <row r="1" spans="1:28" ht="12.75" customHeight="1">
      <c r="A1" s="310" t="s">
        <v>190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</row>
    <row r="2" spans="1:28" ht="12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</row>
    <row r="3" spans="1:28" ht="12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</row>
    <row r="4" spans="1:28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 t="s">
        <v>161</v>
      </c>
      <c r="V4" s="6"/>
      <c r="W4" s="6"/>
      <c r="X4" s="315" t="s">
        <v>192</v>
      </c>
      <c r="Y4" s="315"/>
      <c r="Z4" s="315"/>
      <c r="AA4" s="315"/>
      <c r="AB4" s="315"/>
    </row>
    <row r="5" spans="1:3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5" t="s">
        <v>162</v>
      </c>
      <c r="V5" s="6"/>
      <c r="W5" s="6"/>
      <c r="X5" s="315" t="s">
        <v>182</v>
      </c>
      <c r="Y5" s="315"/>
      <c r="Z5" s="315"/>
      <c r="AA5" s="315"/>
      <c r="AB5" s="315"/>
      <c r="AC5" s="3"/>
      <c r="AD5" s="4"/>
      <c r="AE5" s="4"/>
      <c r="AF5" s="4"/>
    </row>
    <row r="6" spans="1:3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 t="s">
        <v>155</v>
      </c>
      <c r="V6" s="6"/>
      <c r="W6" s="6"/>
      <c r="X6" s="74">
        <v>0</v>
      </c>
      <c r="Y6" s="201"/>
      <c r="Z6" s="218"/>
      <c r="AA6" s="218"/>
      <c r="AB6" s="218"/>
      <c r="AC6" s="3"/>
      <c r="AE6" s="4"/>
      <c r="AF6" s="4"/>
    </row>
    <row r="7" spans="1:29" ht="12.75" customHeight="1">
      <c r="A7" s="2"/>
      <c r="B7" s="271" t="s">
        <v>249</v>
      </c>
      <c r="C7" s="272" t="s">
        <v>163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" t="s">
        <v>164</v>
      </c>
      <c r="V7" s="6"/>
      <c r="W7" s="6"/>
      <c r="X7" s="6"/>
      <c r="Y7" s="210">
        <v>1</v>
      </c>
      <c r="Z7" s="74" t="s">
        <v>165</v>
      </c>
      <c r="AA7" s="207">
        <v>1</v>
      </c>
      <c r="AB7" s="74"/>
      <c r="AC7" s="6"/>
    </row>
    <row r="8" spans="1:29" ht="12.75" customHeight="1">
      <c r="A8" s="2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C8" s="6"/>
    </row>
    <row r="9" spans="1:29" ht="12.75" customHeight="1">
      <c r="A9" s="2"/>
      <c r="B9" s="2"/>
      <c r="C9" s="2" t="s">
        <v>195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AC9" s="6"/>
    </row>
    <row r="10" spans="1:2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9" ht="12.75" customHeight="1">
      <c r="A12" s="2"/>
      <c r="B12" s="271" t="s">
        <v>250</v>
      </c>
      <c r="C12" s="272" t="s">
        <v>193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AC12" s="6"/>
    </row>
    <row r="13" spans="1:21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2"/>
      <c r="B14" s="2"/>
      <c r="C14" s="2" t="s">
        <v>454</v>
      </c>
      <c r="D14" s="2"/>
      <c r="E14" s="2"/>
      <c r="F14" s="2"/>
      <c r="G14" s="2" t="s">
        <v>196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"/>
      <c r="B15" s="2"/>
      <c r="C15" s="2" t="s">
        <v>153</v>
      </c>
      <c r="D15" s="2"/>
      <c r="E15" s="2"/>
      <c r="F15" s="2"/>
      <c r="G15" s="2" t="s">
        <v>154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271" t="s">
        <v>251</v>
      </c>
      <c r="C18" s="275" t="s">
        <v>159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9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</row>
    <row r="24" spans="1:29" ht="12.75" customHeight="1">
      <c r="A24" s="5"/>
      <c r="B24" s="271" t="s">
        <v>252</v>
      </c>
      <c r="C24" s="275" t="s">
        <v>160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</row>
    <row r="25" spans="1:29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5"/>
      <c r="B26" s="5"/>
      <c r="C26" s="5" t="s">
        <v>115</v>
      </c>
      <c r="D26" s="5"/>
      <c r="E26" s="5"/>
      <c r="F26" s="5"/>
      <c r="G26" s="5" t="s">
        <v>116</v>
      </c>
      <c r="H26" s="5"/>
      <c r="I26" s="5"/>
      <c r="J26" s="5"/>
      <c r="K26" s="5"/>
      <c r="L26" s="5"/>
      <c r="M26" s="5" t="s">
        <v>117</v>
      </c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A29" s="5"/>
      <c r="B29" s="271" t="s">
        <v>253</v>
      </c>
      <c r="C29" s="275" t="s">
        <v>194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 customHeight="1">
      <c r="A31" s="5"/>
      <c r="B31" s="5"/>
      <c r="C31" s="5" t="s">
        <v>125</v>
      </c>
      <c r="D31" s="5"/>
      <c r="E31" s="5"/>
      <c r="F31" s="5"/>
      <c r="G31" s="5" t="s">
        <v>126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 customHeight="1">
      <c r="A32" s="5"/>
      <c r="B32" s="5"/>
      <c r="G32" s="1" t="s">
        <v>127</v>
      </c>
      <c r="H32" s="5"/>
      <c r="I32" s="5"/>
      <c r="J32" s="5"/>
      <c r="K32" s="5"/>
      <c r="L32" s="5"/>
      <c r="M32" s="5" t="s">
        <v>129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 customHeight="1">
      <c r="A33" s="5"/>
      <c r="B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1" ht="12.75" customHeight="1">
      <c r="A34" s="2"/>
      <c r="B34" s="2"/>
      <c r="C34" s="5" t="s">
        <v>124</v>
      </c>
      <c r="D34" s="5"/>
      <c r="E34" s="5"/>
      <c r="F34" s="5"/>
      <c r="G34" s="5" t="s">
        <v>123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9" ht="12.75" customHeight="1">
      <c r="A35" s="2"/>
      <c r="B35" s="2"/>
      <c r="C35" s="2"/>
      <c r="D35" s="2"/>
      <c r="E35" s="2"/>
      <c r="F35" s="2"/>
      <c r="G35" s="2" t="s">
        <v>128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C35" s="6"/>
    </row>
    <row r="36" spans="1:2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2"/>
      <c r="B37" s="2"/>
      <c r="C37" s="2" t="s">
        <v>472</v>
      </c>
      <c r="D37" s="2"/>
      <c r="E37" s="2"/>
      <c r="F37" s="2"/>
      <c r="G37" s="2" t="s">
        <v>473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9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  <c r="AA44" s="6"/>
      <c r="AB44" s="6"/>
      <c r="AC44" s="6"/>
    </row>
    <row r="45" spans="1:2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9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5"/>
      <c r="AD59" s="2"/>
    </row>
    <row r="60" spans="1:30" ht="12.75" customHeight="1">
      <c r="A60" s="2" t="s">
        <v>188</v>
      </c>
      <c r="AB60" s="8" t="s">
        <v>189</v>
      </c>
      <c r="AC60" s="2"/>
      <c r="AD60" s="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108" ht="13.5" customHeight="1"/>
    <row r="109" ht="13.5" customHeight="1"/>
  </sheetData>
  <mergeCells count="3">
    <mergeCell ref="A1:AB3"/>
    <mergeCell ref="X4:AB4"/>
    <mergeCell ref="X5:AB5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K60"/>
  <sheetViews>
    <sheetView zoomScaleSheetLayoutView="100" workbookViewId="0" topLeftCell="A1">
      <selection activeCell="AA5" sqref="AA5"/>
    </sheetView>
  </sheetViews>
  <sheetFormatPr defaultColWidth="8.88671875" defaultRowHeight="13.5"/>
  <cols>
    <col min="1" max="78" width="2.77734375" style="10" customWidth="1"/>
    <col min="79" max="16384" width="8.88671875" style="10" customWidth="1"/>
  </cols>
  <sheetData>
    <row r="1" spans="1:28" ht="12.75" customHeight="1">
      <c r="A1" s="350" t="s">
        <v>216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</row>
    <row r="2" spans="1:28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</row>
    <row r="3" spans="1:28" ht="12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2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32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11"/>
      <c r="AD5" s="12"/>
      <c r="AE5" s="12"/>
      <c r="AF5" s="12"/>
    </row>
    <row r="6" spans="1:32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11"/>
      <c r="AE6" s="12"/>
      <c r="AF6" s="12"/>
    </row>
    <row r="7" spans="1:29" ht="12.75" customHeight="1">
      <c r="A7" s="9"/>
      <c r="B7" s="9"/>
      <c r="C7" s="295" t="s">
        <v>461</v>
      </c>
      <c r="D7" s="9"/>
      <c r="E7" s="9"/>
      <c r="F7" s="14" t="s">
        <v>210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3" t="s">
        <v>211</v>
      </c>
      <c r="T7" s="9"/>
      <c r="U7" s="9"/>
      <c r="AC7" s="15"/>
    </row>
    <row r="8" spans="1:29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 t="s">
        <v>212</v>
      </c>
      <c r="T8" s="9"/>
      <c r="U8" s="9"/>
      <c r="AC8" s="15"/>
    </row>
    <row r="9" spans="1:29" ht="12.75" customHeight="1">
      <c r="A9" s="9"/>
      <c r="B9" s="9"/>
      <c r="C9" s="19" t="s">
        <v>225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AC9" s="15"/>
    </row>
    <row r="10" spans="1:21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 t="s">
        <v>219</v>
      </c>
      <c r="T10" s="9"/>
      <c r="U10" s="9"/>
    </row>
    <row r="11" spans="1:21" ht="12.75" customHeight="1">
      <c r="A11" s="9"/>
      <c r="B11" s="9"/>
      <c r="C11" s="19" t="s">
        <v>226</v>
      </c>
      <c r="D11" s="9"/>
      <c r="E11" s="9"/>
      <c r="F11" s="9" t="s">
        <v>213</v>
      </c>
      <c r="G11" s="294" t="s">
        <v>458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4" t="s">
        <v>220</v>
      </c>
      <c r="T11" s="9"/>
      <c r="U11" s="9"/>
    </row>
    <row r="12" spans="1:29" ht="12.75" customHeight="1">
      <c r="A12" s="9"/>
      <c r="B12" s="9"/>
      <c r="C12" s="19" t="s">
        <v>227</v>
      </c>
      <c r="D12" s="9"/>
      <c r="E12" s="9"/>
      <c r="F12" s="9" t="s">
        <v>213</v>
      </c>
      <c r="G12" s="293">
        <v>30</v>
      </c>
      <c r="H12" s="19" t="s">
        <v>230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 t="s">
        <v>214</v>
      </c>
      <c r="T12" s="9"/>
      <c r="U12" s="9" t="s">
        <v>213</v>
      </c>
      <c r="V12" s="10" t="s">
        <v>217</v>
      </c>
      <c r="AC12" s="15"/>
    </row>
    <row r="13" spans="1:22" ht="12.75" customHeight="1">
      <c r="A13" s="9"/>
      <c r="B13" s="9"/>
      <c r="C13" s="19" t="s">
        <v>228</v>
      </c>
      <c r="D13" s="9"/>
      <c r="E13" s="9"/>
      <c r="F13" s="9" t="s">
        <v>213</v>
      </c>
      <c r="G13" s="19" t="s">
        <v>231</v>
      </c>
      <c r="H13" s="9"/>
      <c r="I13" s="9"/>
      <c r="J13" s="293">
        <v>75</v>
      </c>
      <c r="K13" s="19" t="s">
        <v>230</v>
      </c>
      <c r="L13" s="9"/>
      <c r="M13" s="9"/>
      <c r="N13" s="9"/>
      <c r="O13" s="9"/>
      <c r="P13" s="9"/>
      <c r="Q13" s="9"/>
      <c r="R13" s="9"/>
      <c r="S13" s="9" t="s">
        <v>215</v>
      </c>
      <c r="T13" s="9"/>
      <c r="U13" s="9" t="s">
        <v>213</v>
      </c>
      <c r="V13" s="10" t="s">
        <v>218</v>
      </c>
    </row>
    <row r="14" spans="1:22" ht="12.75" customHeight="1">
      <c r="A14" s="9"/>
      <c r="B14" s="9"/>
      <c r="C14" s="19" t="s">
        <v>229</v>
      </c>
      <c r="D14" s="9"/>
      <c r="E14" s="9"/>
      <c r="F14" s="9" t="s">
        <v>213</v>
      </c>
      <c r="G14" s="19" t="s">
        <v>232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 t="s">
        <v>221</v>
      </c>
      <c r="T14" s="9"/>
      <c r="U14" s="9" t="s">
        <v>213</v>
      </c>
      <c r="V14" s="18" t="s">
        <v>223</v>
      </c>
    </row>
    <row r="15" spans="1:22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222</v>
      </c>
      <c r="T15" s="9"/>
      <c r="U15" s="9" t="s">
        <v>213</v>
      </c>
      <c r="V15" s="18" t="s">
        <v>224</v>
      </c>
    </row>
    <row r="16" spans="1:21" ht="12.75" customHeight="1">
      <c r="A16" s="9"/>
      <c r="B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6" ht="12.75" customHeight="1">
      <c r="A18" s="9"/>
      <c r="B18" s="9"/>
      <c r="C18" s="348" t="s">
        <v>233</v>
      </c>
      <c r="D18" s="348"/>
      <c r="E18" s="20"/>
      <c r="F18" s="354" t="s">
        <v>459</v>
      </c>
      <c r="G18" s="354"/>
      <c r="H18" s="354"/>
      <c r="I18" s="354"/>
      <c r="J18" s="354"/>
      <c r="K18" s="354"/>
      <c r="L18" s="354"/>
      <c r="M18" s="354"/>
      <c r="N18" s="354"/>
      <c r="O18" s="307" t="s">
        <v>235</v>
      </c>
      <c r="P18" s="307"/>
      <c r="Q18" s="307"/>
      <c r="R18" s="21"/>
      <c r="S18" s="358" t="s">
        <v>457</v>
      </c>
      <c r="T18" s="358"/>
      <c r="U18" s="358"/>
      <c r="V18" s="358"/>
      <c r="W18" s="358"/>
      <c r="X18" s="358"/>
      <c r="Y18" s="358"/>
      <c r="Z18" s="358"/>
    </row>
    <row r="19" spans="1:26" ht="12.75" customHeight="1">
      <c r="A19" s="9"/>
      <c r="B19" s="9"/>
      <c r="C19" s="345"/>
      <c r="D19" s="345"/>
      <c r="E19" s="9"/>
      <c r="F19" s="355"/>
      <c r="G19" s="355"/>
      <c r="H19" s="355"/>
      <c r="I19" s="355"/>
      <c r="J19" s="355"/>
      <c r="K19" s="355"/>
      <c r="L19" s="355"/>
      <c r="M19" s="355"/>
      <c r="N19" s="355"/>
      <c r="O19" s="357"/>
      <c r="P19" s="357"/>
      <c r="Q19" s="357"/>
      <c r="R19" s="23"/>
      <c r="S19" s="359"/>
      <c r="T19" s="359"/>
      <c r="U19" s="359"/>
      <c r="V19" s="359"/>
      <c r="W19" s="359"/>
      <c r="X19" s="359"/>
      <c r="Y19" s="359"/>
      <c r="Z19" s="359"/>
    </row>
    <row r="20" spans="1:29" ht="12.75" customHeight="1">
      <c r="A20" s="16"/>
      <c r="B20" s="16"/>
      <c r="C20" s="348" t="s">
        <v>234</v>
      </c>
      <c r="D20" s="348"/>
      <c r="E20" s="22"/>
      <c r="F20" s="354" t="s">
        <v>460</v>
      </c>
      <c r="G20" s="354"/>
      <c r="H20" s="354"/>
      <c r="I20" s="354"/>
      <c r="J20" s="354"/>
      <c r="K20" s="354"/>
      <c r="L20" s="354"/>
      <c r="M20" s="354"/>
      <c r="N20" s="354"/>
      <c r="O20" s="307" t="s">
        <v>236</v>
      </c>
      <c r="P20" s="307"/>
      <c r="Q20" s="307"/>
      <c r="R20" s="28"/>
      <c r="S20" s="307"/>
      <c r="T20" s="307"/>
      <c r="U20" s="301"/>
      <c r="V20" s="301"/>
      <c r="W20" s="301"/>
      <c r="X20" s="301"/>
      <c r="Y20" s="301"/>
      <c r="Z20" s="301"/>
      <c r="AA20" s="15"/>
      <c r="AB20" s="15"/>
      <c r="AC20" s="15"/>
    </row>
    <row r="21" spans="1:29" ht="12.75" customHeight="1">
      <c r="A21" s="16"/>
      <c r="B21" s="16"/>
      <c r="C21" s="346"/>
      <c r="D21" s="346"/>
      <c r="E21" s="17"/>
      <c r="F21" s="356"/>
      <c r="G21" s="356"/>
      <c r="H21" s="356"/>
      <c r="I21" s="356"/>
      <c r="J21" s="356"/>
      <c r="K21" s="356"/>
      <c r="L21" s="356"/>
      <c r="M21" s="356"/>
      <c r="N21" s="356"/>
      <c r="O21" s="300"/>
      <c r="P21" s="300"/>
      <c r="Q21" s="300"/>
      <c r="R21" s="29"/>
      <c r="S21" s="300"/>
      <c r="T21" s="300"/>
      <c r="U21" s="299"/>
      <c r="V21" s="299"/>
      <c r="W21" s="299"/>
      <c r="X21" s="299"/>
      <c r="Y21" s="299"/>
      <c r="Z21" s="299"/>
      <c r="AA21" s="15"/>
      <c r="AB21" s="15"/>
      <c r="AC21" s="15"/>
    </row>
    <row r="22" spans="1:26" ht="12.75" customHeight="1">
      <c r="A22" s="9"/>
      <c r="B22" s="9"/>
      <c r="C22" s="305" t="s">
        <v>237</v>
      </c>
      <c r="D22" s="305"/>
      <c r="E22" s="16"/>
      <c r="F22" s="341" t="s">
        <v>238</v>
      </c>
      <c r="G22" s="341"/>
      <c r="H22" s="341"/>
      <c r="I22" s="341"/>
      <c r="J22" s="341"/>
      <c r="K22" s="341"/>
      <c r="L22" s="341"/>
      <c r="M22" s="341"/>
      <c r="N22" s="341"/>
      <c r="O22" s="305" t="s">
        <v>239</v>
      </c>
      <c r="P22" s="305"/>
      <c r="Q22" s="305"/>
      <c r="R22" s="305"/>
      <c r="S22" s="305" t="s">
        <v>240</v>
      </c>
      <c r="T22" s="305"/>
      <c r="U22" s="305"/>
      <c r="V22" s="305"/>
      <c r="W22" s="305" t="s">
        <v>241</v>
      </c>
      <c r="X22" s="305"/>
      <c r="Y22" s="305"/>
      <c r="Z22" s="305"/>
    </row>
    <row r="23" spans="1:26" ht="12.75" customHeight="1">
      <c r="A23" s="9"/>
      <c r="B23" s="9"/>
      <c r="C23" s="340"/>
      <c r="D23" s="340"/>
      <c r="E23" s="16"/>
      <c r="F23" s="342"/>
      <c r="G23" s="342"/>
      <c r="H23" s="342"/>
      <c r="I23" s="342"/>
      <c r="J23" s="342"/>
      <c r="K23" s="342"/>
      <c r="L23" s="342"/>
      <c r="M23" s="342"/>
      <c r="N23" s="342"/>
      <c r="O23" s="306"/>
      <c r="P23" s="306"/>
      <c r="Q23" s="306"/>
      <c r="R23" s="306"/>
      <c r="S23" s="340"/>
      <c r="T23" s="340"/>
      <c r="U23" s="340"/>
      <c r="V23" s="340"/>
      <c r="W23" s="343"/>
      <c r="X23" s="343"/>
      <c r="Y23" s="343"/>
      <c r="Z23" s="343"/>
    </row>
    <row r="24" spans="1:29" ht="12.75" customHeight="1">
      <c r="A24" s="16"/>
      <c r="B24" s="16"/>
      <c r="C24" s="305">
        <v>1</v>
      </c>
      <c r="D24" s="305"/>
      <c r="E24" s="22"/>
      <c r="F24" s="341" t="str">
        <f>name_SnT</f>
        <v> H/E Name</v>
      </c>
      <c r="G24" s="341"/>
      <c r="H24" s="341"/>
      <c r="I24" s="341"/>
      <c r="J24" s="341"/>
      <c r="K24" s="341"/>
      <c r="L24" s="341"/>
      <c r="M24" s="341"/>
      <c r="N24" s="341"/>
      <c r="O24" s="305">
        <f>qty_SnT</f>
        <v>1</v>
      </c>
      <c r="P24" s="305"/>
      <c r="Q24" s="348" t="s">
        <v>348</v>
      </c>
      <c r="R24" s="348"/>
      <c r="S24" s="347">
        <f>uprice_SnT</f>
        <v>42840000</v>
      </c>
      <c r="T24" s="347"/>
      <c r="U24" s="347"/>
      <c r="V24" s="347"/>
      <c r="W24" s="347">
        <f>O24*S24</f>
        <v>42840000</v>
      </c>
      <c r="X24" s="347"/>
      <c r="Y24" s="347"/>
      <c r="Z24" s="347"/>
      <c r="AA24" s="15"/>
      <c r="AB24" s="15"/>
      <c r="AC24" s="15"/>
    </row>
    <row r="25" spans="1:29" ht="12.75" customHeight="1">
      <c r="A25" s="16"/>
      <c r="B25" s="16"/>
      <c r="C25" s="340"/>
      <c r="D25" s="340"/>
      <c r="E25" s="16"/>
      <c r="F25" s="342"/>
      <c r="G25" s="342"/>
      <c r="H25" s="342"/>
      <c r="I25" s="342"/>
      <c r="J25" s="342"/>
      <c r="K25" s="342"/>
      <c r="L25" s="342"/>
      <c r="M25" s="342"/>
      <c r="N25" s="342"/>
      <c r="O25" s="340"/>
      <c r="P25" s="340"/>
      <c r="Q25" s="345"/>
      <c r="R25" s="345"/>
      <c r="S25" s="338"/>
      <c r="T25" s="338"/>
      <c r="U25" s="338"/>
      <c r="V25" s="338"/>
      <c r="W25" s="338"/>
      <c r="X25" s="338"/>
      <c r="Y25" s="338"/>
      <c r="Z25" s="338"/>
      <c r="AA25" s="15"/>
      <c r="AB25" s="15"/>
      <c r="AC25" s="15"/>
    </row>
    <row r="26" spans="1:29" ht="12.75" customHeight="1">
      <c r="A26" s="16"/>
      <c r="B26" s="16"/>
      <c r="C26" s="340">
        <v>2</v>
      </c>
      <c r="D26" s="340"/>
      <c r="E26" s="16"/>
      <c r="F26" s="342" t="str">
        <f>name_SnT2</f>
        <v> H/E Name</v>
      </c>
      <c r="G26" s="342"/>
      <c r="H26" s="342"/>
      <c r="I26" s="342"/>
      <c r="J26" s="342"/>
      <c r="K26" s="342"/>
      <c r="L26" s="342"/>
      <c r="M26" s="342"/>
      <c r="N26" s="342"/>
      <c r="O26" s="340">
        <f>qty_SnT2</f>
        <v>1</v>
      </c>
      <c r="P26" s="340"/>
      <c r="Q26" s="345" t="str">
        <f>Q24</f>
        <v>set(s)</v>
      </c>
      <c r="R26" s="345"/>
      <c r="S26" s="338">
        <f>uprice_SnT2</f>
        <v>42840000</v>
      </c>
      <c r="T26" s="338"/>
      <c r="U26" s="338"/>
      <c r="V26" s="338"/>
      <c r="W26" s="338">
        <f>O26*S26</f>
        <v>42840000</v>
      </c>
      <c r="X26" s="338"/>
      <c r="Y26" s="338"/>
      <c r="Z26" s="338"/>
      <c r="AA26" s="15"/>
      <c r="AB26" s="15"/>
      <c r="AC26" s="15"/>
    </row>
    <row r="27" spans="1:29" ht="12.75" customHeight="1">
      <c r="A27" s="16"/>
      <c r="B27" s="16"/>
      <c r="C27" s="340"/>
      <c r="D27" s="340"/>
      <c r="E27" s="16"/>
      <c r="F27" s="342"/>
      <c r="G27" s="342"/>
      <c r="H27" s="342"/>
      <c r="I27" s="342"/>
      <c r="J27" s="342"/>
      <c r="K27" s="342"/>
      <c r="L27" s="342"/>
      <c r="M27" s="342"/>
      <c r="N27" s="342"/>
      <c r="O27" s="340"/>
      <c r="P27" s="340"/>
      <c r="Q27" s="345"/>
      <c r="R27" s="345"/>
      <c r="S27" s="338"/>
      <c r="T27" s="338"/>
      <c r="U27" s="338"/>
      <c r="V27" s="338"/>
      <c r="W27" s="338"/>
      <c r="X27" s="338"/>
      <c r="Y27" s="338"/>
      <c r="Z27" s="338"/>
      <c r="AA27" s="15"/>
      <c r="AB27" s="15"/>
      <c r="AC27" s="15"/>
    </row>
    <row r="28" spans="1:29" ht="12.75" customHeight="1">
      <c r="A28" s="16"/>
      <c r="B28" s="16"/>
      <c r="C28" s="340">
        <v>3</v>
      </c>
      <c r="D28" s="340"/>
      <c r="E28" s="16"/>
      <c r="F28" s="342"/>
      <c r="G28" s="342"/>
      <c r="H28" s="342"/>
      <c r="I28" s="342"/>
      <c r="J28" s="342"/>
      <c r="K28" s="342"/>
      <c r="L28" s="342"/>
      <c r="M28" s="342"/>
      <c r="N28" s="342"/>
      <c r="O28" s="340"/>
      <c r="P28" s="340"/>
      <c r="Q28" s="345" t="str">
        <f>Q24</f>
        <v>set(s)</v>
      </c>
      <c r="R28" s="345"/>
      <c r="S28" s="338"/>
      <c r="T28" s="338"/>
      <c r="U28" s="338"/>
      <c r="V28" s="338"/>
      <c r="W28" s="338">
        <f>O28*S28</f>
        <v>0</v>
      </c>
      <c r="X28" s="338"/>
      <c r="Y28" s="338"/>
      <c r="Z28" s="338"/>
      <c r="AA28" s="15"/>
      <c r="AB28" s="15"/>
      <c r="AC28" s="15"/>
    </row>
    <row r="29" spans="1:29" ht="12.75" customHeight="1">
      <c r="A29" s="16"/>
      <c r="B29" s="16"/>
      <c r="C29" s="340"/>
      <c r="D29" s="340"/>
      <c r="E29" s="16"/>
      <c r="F29" s="342"/>
      <c r="G29" s="342"/>
      <c r="H29" s="342"/>
      <c r="I29" s="342"/>
      <c r="J29" s="342"/>
      <c r="K29" s="342"/>
      <c r="L29" s="342"/>
      <c r="M29" s="342"/>
      <c r="N29" s="342"/>
      <c r="O29" s="340"/>
      <c r="P29" s="340"/>
      <c r="Q29" s="345"/>
      <c r="R29" s="345"/>
      <c r="S29" s="338"/>
      <c r="T29" s="338"/>
      <c r="U29" s="338"/>
      <c r="V29" s="338"/>
      <c r="W29" s="338"/>
      <c r="X29" s="338"/>
      <c r="Y29" s="338"/>
      <c r="Z29" s="338"/>
      <c r="AA29" s="15"/>
      <c r="AB29" s="15"/>
      <c r="AC29" s="15"/>
    </row>
    <row r="30" spans="1:29" ht="12.75" customHeight="1">
      <c r="A30" s="16"/>
      <c r="B30" s="16"/>
      <c r="C30" s="340">
        <v>4</v>
      </c>
      <c r="D30" s="340"/>
      <c r="E30" s="16"/>
      <c r="F30" s="342"/>
      <c r="G30" s="342"/>
      <c r="H30" s="342"/>
      <c r="I30" s="342"/>
      <c r="J30" s="342"/>
      <c r="K30" s="342"/>
      <c r="L30" s="342"/>
      <c r="M30" s="342"/>
      <c r="N30" s="342"/>
      <c r="O30" s="340"/>
      <c r="P30" s="340"/>
      <c r="Q30" s="345" t="str">
        <f>Q24</f>
        <v>set(s)</v>
      </c>
      <c r="R30" s="345"/>
      <c r="S30" s="338"/>
      <c r="T30" s="338"/>
      <c r="U30" s="338"/>
      <c r="V30" s="338"/>
      <c r="W30" s="338">
        <f>O30*S30</f>
        <v>0</v>
      </c>
      <c r="X30" s="338"/>
      <c r="Y30" s="338"/>
      <c r="Z30" s="338"/>
      <c r="AA30" s="15"/>
      <c r="AB30" s="15"/>
      <c r="AC30" s="15"/>
    </row>
    <row r="31" spans="1:29" ht="12.75" customHeight="1">
      <c r="A31" s="16"/>
      <c r="B31" s="16"/>
      <c r="C31" s="340"/>
      <c r="D31" s="340"/>
      <c r="E31" s="16"/>
      <c r="F31" s="342"/>
      <c r="G31" s="342"/>
      <c r="H31" s="342"/>
      <c r="I31" s="342"/>
      <c r="J31" s="342"/>
      <c r="K31" s="342"/>
      <c r="L31" s="342"/>
      <c r="M31" s="342"/>
      <c r="N31" s="342"/>
      <c r="O31" s="340"/>
      <c r="P31" s="340"/>
      <c r="Q31" s="345"/>
      <c r="R31" s="345"/>
      <c r="S31" s="338"/>
      <c r="T31" s="338"/>
      <c r="U31" s="338"/>
      <c r="V31" s="338"/>
      <c r="W31" s="338"/>
      <c r="X31" s="338"/>
      <c r="Y31" s="338"/>
      <c r="Z31" s="338"/>
      <c r="AA31" s="15"/>
      <c r="AB31" s="15"/>
      <c r="AC31" s="15"/>
    </row>
    <row r="32" spans="1:29" ht="12.75" customHeight="1">
      <c r="A32" s="16"/>
      <c r="B32" s="16"/>
      <c r="C32" s="340">
        <v>5</v>
      </c>
      <c r="D32" s="340"/>
      <c r="E32" s="16"/>
      <c r="F32" s="342"/>
      <c r="G32" s="342"/>
      <c r="H32" s="342"/>
      <c r="I32" s="342"/>
      <c r="J32" s="342"/>
      <c r="K32" s="342"/>
      <c r="L32" s="342"/>
      <c r="M32" s="342"/>
      <c r="N32" s="342"/>
      <c r="O32" s="340"/>
      <c r="P32" s="340"/>
      <c r="Q32" s="345" t="str">
        <f>Q24</f>
        <v>set(s)</v>
      </c>
      <c r="R32" s="345"/>
      <c r="S32" s="338"/>
      <c r="T32" s="338"/>
      <c r="U32" s="338"/>
      <c r="V32" s="338"/>
      <c r="W32" s="338">
        <f>O32*S32</f>
        <v>0</v>
      </c>
      <c r="X32" s="338"/>
      <c r="Y32" s="338"/>
      <c r="Z32" s="338"/>
      <c r="AA32" s="16"/>
      <c r="AB32" s="16"/>
      <c r="AC32" s="16"/>
    </row>
    <row r="33" spans="1:29" ht="12.75" customHeight="1">
      <c r="A33" s="16"/>
      <c r="B33" s="16"/>
      <c r="C33" s="340"/>
      <c r="D33" s="340"/>
      <c r="E33" s="16"/>
      <c r="F33" s="342"/>
      <c r="G33" s="342"/>
      <c r="H33" s="342"/>
      <c r="I33" s="342"/>
      <c r="J33" s="342"/>
      <c r="K33" s="342"/>
      <c r="L33" s="342"/>
      <c r="M33" s="342"/>
      <c r="N33" s="342"/>
      <c r="O33" s="340"/>
      <c r="P33" s="340"/>
      <c r="Q33" s="345"/>
      <c r="R33" s="345"/>
      <c r="S33" s="338"/>
      <c r="T33" s="338"/>
      <c r="U33" s="338"/>
      <c r="V33" s="338"/>
      <c r="W33" s="338"/>
      <c r="X33" s="338"/>
      <c r="Y33" s="338"/>
      <c r="Z33" s="338"/>
      <c r="AA33" s="16"/>
      <c r="AB33" s="16"/>
      <c r="AC33" s="16"/>
    </row>
    <row r="34" spans="1:29" ht="12.75" customHeight="1">
      <c r="A34" s="16"/>
      <c r="B34" s="16"/>
      <c r="C34" s="340">
        <v>6</v>
      </c>
      <c r="D34" s="340"/>
      <c r="E34" s="16"/>
      <c r="F34" s="342"/>
      <c r="G34" s="342"/>
      <c r="H34" s="342"/>
      <c r="I34" s="342"/>
      <c r="J34" s="342"/>
      <c r="K34" s="342"/>
      <c r="L34" s="342"/>
      <c r="M34" s="342"/>
      <c r="N34" s="342"/>
      <c r="O34" s="340"/>
      <c r="P34" s="340"/>
      <c r="Q34" s="345" t="str">
        <f>Q24</f>
        <v>set(s)</v>
      </c>
      <c r="R34" s="345"/>
      <c r="S34" s="338"/>
      <c r="T34" s="338"/>
      <c r="U34" s="338"/>
      <c r="V34" s="338"/>
      <c r="W34" s="338">
        <f>O34*S34</f>
        <v>0</v>
      </c>
      <c r="X34" s="338"/>
      <c r="Y34" s="338"/>
      <c r="Z34" s="338"/>
      <c r="AA34" s="16"/>
      <c r="AB34" s="16"/>
      <c r="AC34" s="16"/>
    </row>
    <row r="35" spans="1:29" ht="12.75" customHeight="1">
      <c r="A35" s="16"/>
      <c r="B35" s="16"/>
      <c r="C35" s="340"/>
      <c r="D35" s="340"/>
      <c r="E35" s="16"/>
      <c r="F35" s="342"/>
      <c r="G35" s="342"/>
      <c r="H35" s="342"/>
      <c r="I35" s="342"/>
      <c r="J35" s="342"/>
      <c r="K35" s="342"/>
      <c r="L35" s="342"/>
      <c r="M35" s="342"/>
      <c r="N35" s="342"/>
      <c r="O35" s="340"/>
      <c r="P35" s="340"/>
      <c r="Q35" s="345"/>
      <c r="R35" s="345"/>
      <c r="S35" s="338"/>
      <c r="T35" s="338"/>
      <c r="U35" s="338"/>
      <c r="V35" s="338"/>
      <c r="W35" s="338"/>
      <c r="X35" s="338"/>
      <c r="Y35" s="338"/>
      <c r="Z35" s="338"/>
      <c r="AA35" s="16"/>
      <c r="AB35" s="16"/>
      <c r="AC35" s="16"/>
    </row>
    <row r="36" spans="1:29" ht="12.75" customHeight="1">
      <c r="A36" s="16"/>
      <c r="B36" s="16"/>
      <c r="C36" s="340">
        <v>7</v>
      </c>
      <c r="D36" s="340"/>
      <c r="E36" s="16"/>
      <c r="F36" s="342"/>
      <c r="G36" s="342"/>
      <c r="H36" s="342"/>
      <c r="I36" s="342"/>
      <c r="J36" s="342"/>
      <c r="K36" s="342"/>
      <c r="L36" s="342"/>
      <c r="M36" s="342"/>
      <c r="N36" s="342"/>
      <c r="O36" s="340"/>
      <c r="P36" s="340"/>
      <c r="Q36" s="345" t="str">
        <f>Q24</f>
        <v>set(s)</v>
      </c>
      <c r="R36" s="345"/>
      <c r="S36" s="338"/>
      <c r="T36" s="338"/>
      <c r="U36" s="338"/>
      <c r="V36" s="338"/>
      <c r="W36" s="338">
        <f>O36*S36</f>
        <v>0</v>
      </c>
      <c r="X36" s="338"/>
      <c r="Y36" s="338"/>
      <c r="Z36" s="338"/>
      <c r="AA36" s="16"/>
      <c r="AB36" s="16"/>
      <c r="AC36" s="16"/>
    </row>
    <row r="37" spans="1:26" ht="12.75" customHeight="1">
      <c r="A37" s="9"/>
      <c r="B37" s="9"/>
      <c r="C37" s="306"/>
      <c r="D37" s="306"/>
      <c r="E37" s="17"/>
      <c r="F37" s="344"/>
      <c r="G37" s="344"/>
      <c r="H37" s="344"/>
      <c r="I37" s="344"/>
      <c r="J37" s="344"/>
      <c r="K37" s="344"/>
      <c r="L37" s="344"/>
      <c r="M37" s="344"/>
      <c r="N37" s="344"/>
      <c r="O37" s="306"/>
      <c r="P37" s="306"/>
      <c r="Q37" s="346"/>
      <c r="R37" s="346"/>
      <c r="S37" s="339"/>
      <c r="T37" s="339"/>
      <c r="U37" s="339"/>
      <c r="V37" s="339"/>
      <c r="W37" s="339"/>
      <c r="X37" s="339"/>
      <c r="Y37" s="339"/>
      <c r="Z37" s="339"/>
    </row>
    <row r="38" spans="1:29" ht="12.75" customHeight="1">
      <c r="A38" s="9"/>
      <c r="B38" s="9"/>
      <c r="C38" s="21"/>
      <c r="D38" s="21"/>
      <c r="E38" s="1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305" t="s">
        <v>242</v>
      </c>
      <c r="R38" s="305"/>
      <c r="S38" s="305"/>
      <c r="T38" s="305"/>
      <c r="U38" s="305"/>
      <c r="V38" s="305"/>
      <c r="W38" s="303">
        <f>SUM(W24:Z37)</f>
        <v>85680000</v>
      </c>
      <c r="X38" s="303"/>
      <c r="Y38" s="303"/>
      <c r="Z38" s="303"/>
      <c r="AA38" s="349" t="s">
        <v>462</v>
      </c>
      <c r="AC38" s="15"/>
    </row>
    <row r="39" spans="1:27" ht="12.75" customHeight="1">
      <c r="A39" s="9"/>
      <c r="B39" s="9"/>
      <c r="C39" s="23"/>
      <c r="D39" s="23"/>
      <c r="E39" s="17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06"/>
      <c r="R39" s="306"/>
      <c r="S39" s="306"/>
      <c r="T39" s="306"/>
      <c r="U39" s="306"/>
      <c r="V39" s="306"/>
      <c r="W39" s="304"/>
      <c r="X39" s="304"/>
      <c r="Y39" s="304"/>
      <c r="Z39" s="304"/>
      <c r="AA39" s="343"/>
    </row>
    <row r="40" spans="1:2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 customHeight="1">
      <c r="A41" s="9"/>
      <c r="B41" s="9"/>
      <c r="C41" s="24" t="s">
        <v>243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9" ht="12.75" customHeight="1">
      <c r="A43" s="16"/>
      <c r="B43" s="16"/>
      <c r="C43" s="25" t="s">
        <v>244</v>
      </c>
      <c r="D43" s="16"/>
      <c r="E43" s="16"/>
      <c r="F43" s="293">
        <v>30</v>
      </c>
      <c r="G43" s="16" t="s">
        <v>247</v>
      </c>
      <c r="H43" s="16"/>
      <c r="I43" s="25" t="s">
        <v>245</v>
      </c>
      <c r="J43" s="16"/>
      <c r="K43" s="16"/>
      <c r="L43" s="293">
        <v>60</v>
      </c>
      <c r="M43" s="16" t="str">
        <f>G43</f>
        <v>%</v>
      </c>
      <c r="N43" s="16"/>
      <c r="O43" s="25" t="s">
        <v>246</v>
      </c>
      <c r="P43" s="16"/>
      <c r="Q43" s="16"/>
      <c r="R43" s="293">
        <v>10</v>
      </c>
      <c r="S43" s="16" t="str">
        <f>G43</f>
        <v>%</v>
      </c>
      <c r="T43" s="16"/>
      <c r="U43" s="16"/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16"/>
      <c r="B44" s="16"/>
      <c r="C44" s="19" t="s">
        <v>256</v>
      </c>
      <c r="D44" s="9"/>
      <c r="E44" s="9"/>
      <c r="F44" s="19" t="s">
        <v>257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5"/>
      <c r="W44" s="15"/>
      <c r="X44" s="15"/>
      <c r="Y44" s="15"/>
      <c r="Z44" s="15"/>
      <c r="AA44" s="15"/>
      <c r="AB44" s="15"/>
      <c r="AC44" s="15"/>
    </row>
    <row r="45" spans="1:29" ht="12.75" customHeight="1">
      <c r="A45" s="16"/>
      <c r="B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5"/>
      <c r="W45" s="15"/>
      <c r="X45" s="15"/>
      <c r="Y45" s="15"/>
      <c r="Z45" s="15"/>
      <c r="AA45" s="15"/>
      <c r="AB45" s="15"/>
      <c r="AC45" s="15"/>
    </row>
    <row r="46" spans="1:29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12.75" customHeight="1">
      <c r="A47" s="16"/>
      <c r="B47" s="16"/>
      <c r="C47" s="26" t="s">
        <v>248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5"/>
      <c r="W47" s="15"/>
      <c r="X47" s="15"/>
      <c r="Y47" s="15"/>
      <c r="Z47" s="15"/>
      <c r="AA47" s="15"/>
      <c r="AB47" s="15"/>
      <c r="AC47" s="15"/>
    </row>
    <row r="48" spans="1:37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309" t="s">
        <v>594</v>
      </c>
      <c r="AE48" s="309"/>
      <c r="AF48" s="309"/>
      <c r="AG48" s="309"/>
      <c r="AH48" s="309">
        <v>2</v>
      </c>
      <c r="AI48" s="309"/>
      <c r="AJ48" s="309"/>
      <c r="AK48" s="309"/>
    </row>
    <row r="49" spans="1:37" ht="12.75" customHeight="1">
      <c r="A49" s="16"/>
      <c r="B49" s="16"/>
      <c r="C49" s="27" t="s">
        <v>249</v>
      </c>
      <c r="D49" s="16" t="s">
        <v>591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98">
        <v>1</v>
      </c>
      <c r="P49" s="16" t="s">
        <v>593</v>
      </c>
      <c r="Q49" s="16"/>
      <c r="R49" s="15"/>
      <c r="S49" s="302">
        <f>AD49*AE49+AH49*AI49</f>
        <v>460000</v>
      </c>
      <c r="T49" s="302"/>
      <c r="U49" s="302"/>
      <c r="V49" s="15" t="str">
        <f>AA38</f>
        <v>원</v>
      </c>
      <c r="W49" s="15"/>
      <c r="X49" s="15"/>
      <c r="Y49" s="15"/>
      <c r="Z49" s="15"/>
      <c r="AA49" s="15"/>
      <c r="AB49" s="15"/>
      <c r="AC49" s="15"/>
      <c r="AD49" s="297">
        <f>O24</f>
        <v>1</v>
      </c>
      <c r="AE49" s="302">
        <f>uprice_SnT_SPEnC</f>
        <v>230000</v>
      </c>
      <c r="AF49" s="302"/>
      <c r="AG49" s="302"/>
      <c r="AH49" s="297">
        <f>O26</f>
        <v>1</v>
      </c>
      <c r="AI49" s="302">
        <f>uprice_SnT2_SPEnC</f>
        <v>230000</v>
      </c>
      <c r="AJ49" s="302"/>
      <c r="AK49" s="302"/>
    </row>
    <row r="50" spans="1:37" ht="12.75" customHeight="1">
      <c r="A50" s="16"/>
      <c r="B50" s="16"/>
      <c r="C50" s="27" t="s">
        <v>250</v>
      </c>
      <c r="D50" s="16" t="s">
        <v>592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96">
        <f>O49</f>
        <v>1</v>
      </c>
      <c r="P50" s="16" t="str">
        <f>P49</f>
        <v>set</v>
      </c>
      <c r="Q50" s="16"/>
      <c r="R50" s="15"/>
      <c r="S50" s="302">
        <f>AD50*AE50+AH50*AI50</f>
        <v>1200000</v>
      </c>
      <c r="T50" s="302"/>
      <c r="U50" s="302"/>
      <c r="V50" s="15" t="str">
        <f>V49</f>
        <v>원</v>
      </c>
      <c r="W50" s="15"/>
      <c r="X50" s="15"/>
      <c r="Y50" s="15"/>
      <c r="Z50" s="15"/>
      <c r="AA50" s="15"/>
      <c r="AB50" s="15"/>
      <c r="AC50" s="15"/>
      <c r="AD50" s="297">
        <f>AD49</f>
        <v>1</v>
      </c>
      <c r="AE50" s="302">
        <f>uprice_SnT_SP2Y</f>
        <v>600000</v>
      </c>
      <c r="AF50" s="302"/>
      <c r="AG50" s="302"/>
      <c r="AH50" s="297">
        <f>AH49</f>
        <v>1</v>
      </c>
      <c r="AI50" s="302">
        <f>uprice_SnT2_SP2Y</f>
        <v>600000</v>
      </c>
      <c r="AJ50" s="302"/>
      <c r="AK50" s="302"/>
    </row>
    <row r="51" spans="1:29" ht="12.75" customHeight="1">
      <c r="A51" s="16"/>
      <c r="B51" s="16"/>
      <c r="C51" s="27" t="s">
        <v>251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5"/>
      <c r="W51" s="15"/>
      <c r="X51" s="15"/>
      <c r="Y51" s="15"/>
      <c r="Z51" s="15"/>
      <c r="AA51" s="15"/>
      <c r="AB51" s="15"/>
      <c r="AC51" s="15"/>
    </row>
    <row r="52" spans="1:29" ht="12.75" customHeight="1">
      <c r="A52" s="16"/>
      <c r="B52" s="16"/>
      <c r="C52" s="27" t="s">
        <v>252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2.75" customHeight="1">
      <c r="A53" s="16"/>
      <c r="B53" s="16"/>
      <c r="C53" s="27" t="s">
        <v>253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2.75" customHeight="1">
      <c r="A54" s="16"/>
      <c r="B54" s="16"/>
      <c r="C54" s="27" t="s">
        <v>254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12.75" customHeight="1">
      <c r="A55" s="16"/>
      <c r="B55" s="16"/>
      <c r="C55" s="27" t="s">
        <v>255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9"/>
    </row>
    <row r="60" spans="1:30" ht="12.75" customHeight="1">
      <c r="A60" s="9" t="str">
        <f>cosymbol</f>
        <v> NTES</v>
      </c>
      <c r="AB60" s="324" t="str">
        <f>coname</f>
        <v>Narai Thermal Engineering Services </v>
      </c>
      <c r="AC60" s="9"/>
      <c r="AD60" s="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108" ht="13.5" customHeight="1"/>
    <row r="109" ht="13.5" customHeight="1"/>
  </sheetData>
  <mergeCells count="68">
    <mergeCell ref="AA38:AA39"/>
    <mergeCell ref="A1:AB3"/>
    <mergeCell ref="C18:D19"/>
    <mergeCell ref="C20:D21"/>
    <mergeCell ref="F18:N19"/>
    <mergeCell ref="F20:N21"/>
    <mergeCell ref="O20:Q21"/>
    <mergeCell ref="O18:Q19"/>
    <mergeCell ref="S18:Z19"/>
    <mergeCell ref="C24:D25"/>
    <mergeCell ref="F24:N25"/>
    <mergeCell ref="O24:P25"/>
    <mergeCell ref="Q24:R25"/>
    <mergeCell ref="S28:V29"/>
    <mergeCell ref="S24:V25"/>
    <mergeCell ref="C28:D29"/>
    <mergeCell ref="F28:N29"/>
    <mergeCell ref="O28:P29"/>
    <mergeCell ref="Q28:R29"/>
    <mergeCell ref="C26:D27"/>
    <mergeCell ref="F26:N27"/>
    <mergeCell ref="O26:P27"/>
    <mergeCell ref="Q26:R27"/>
    <mergeCell ref="W24:Z25"/>
    <mergeCell ref="S26:V27"/>
    <mergeCell ref="W26:Z27"/>
    <mergeCell ref="S30:V31"/>
    <mergeCell ref="W30:Z31"/>
    <mergeCell ref="W28:Z29"/>
    <mergeCell ref="C30:D31"/>
    <mergeCell ref="F30:N31"/>
    <mergeCell ref="O30:P31"/>
    <mergeCell ref="Q30:R31"/>
    <mergeCell ref="C34:D35"/>
    <mergeCell ref="F34:N35"/>
    <mergeCell ref="O34:P35"/>
    <mergeCell ref="Q34:R35"/>
    <mergeCell ref="C32:D33"/>
    <mergeCell ref="F32:N33"/>
    <mergeCell ref="O32:P33"/>
    <mergeCell ref="Q32:R33"/>
    <mergeCell ref="C36:D37"/>
    <mergeCell ref="F36:N37"/>
    <mergeCell ref="O36:P37"/>
    <mergeCell ref="Q36:R37"/>
    <mergeCell ref="C22:D23"/>
    <mergeCell ref="F22:N23"/>
    <mergeCell ref="S22:V23"/>
    <mergeCell ref="W22:Z23"/>
    <mergeCell ref="O22:R23"/>
    <mergeCell ref="W38:Z39"/>
    <mergeCell ref="Q38:V39"/>
    <mergeCell ref="S20:T21"/>
    <mergeCell ref="U20:Z21"/>
    <mergeCell ref="S36:V37"/>
    <mergeCell ref="W36:Z37"/>
    <mergeCell ref="S32:V33"/>
    <mergeCell ref="W32:Z33"/>
    <mergeCell ref="S34:V35"/>
    <mergeCell ref="W34:Z35"/>
    <mergeCell ref="AD48:AG48"/>
    <mergeCell ref="AH48:AK48"/>
    <mergeCell ref="S49:U49"/>
    <mergeCell ref="S50:U50"/>
    <mergeCell ref="AE49:AG49"/>
    <mergeCell ref="AE50:AG50"/>
    <mergeCell ref="AI49:AK49"/>
    <mergeCell ref="AI50:AK50"/>
  </mergeCells>
  <hyperlinks>
    <hyperlink ref="V14" r:id="rId1" display="mail@dders.co.kr"/>
    <hyperlink ref="V15" r:id="rId2" display="www.dders.co"/>
  </hyperlinks>
  <printOptions/>
  <pageMargins left="0.7874015748031497" right="0" top="0.7874015748031497" bottom="0.3937007874015748" header="0.31496062992125984" footer="0.31496062992125984"/>
  <pageSetup fitToHeight="1" fitToWidth="1" horizontalDpi="1200" verticalDpi="1200" orientation="portrait" paperSize="9" scale="97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P60"/>
  <sheetViews>
    <sheetView zoomScaleSheetLayoutView="100" workbookViewId="0" topLeftCell="A1">
      <selection activeCell="AA5" sqref="AA5"/>
    </sheetView>
  </sheetViews>
  <sheetFormatPr defaultColWidth="8.88671875" defaultRowHeight="13.5"/>
  <cols>
    <col min="1" max="78" width="2.77734375" style="1" customWidth="1"/>
    <col min="79" max="16384" width="8.88671875" style="1" customWidth="1"/>
  </cols>
  <sheetData>
    <row r="1" spans="1:28" ht="12.75" customHeight="1">
      <c r="A1" s="371" t="s">
        <v>260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</row>
    <row r="2" spans="1:28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</row>
    <row r="3" spans="1:28" ht="12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2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C5" s="3"/>
      <c r="AD5" s="4"/>
      <c r="AE5" s="4"/>
      <c r="AF5" s="4"/>
    </row>
    <row r="6" spans="1:3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C6" s="3"/>
      <c r="AE6" s="4"/>
      <c r="AF6" s="4"/>
    </row>
    <row r="7" spans="1:29" ht="12.75" customHeight="1">
      <c r="A7" s="2"/>
      <c r="B7" s="2"/>
      <c r="C7" s="372" t="s">
        <v>237</v>
      </c>
      <c r="D7" s="372"/>
      <c r="E7" s="374" t="s">
        <v>238</v>
      </c>
      <c r="F7" s="372"/>
      <c r="G7" s="372"/>
      <c r="H7" s="372"/>
      <c r="I7" s="372"/>
      <c r="J7" s="372"/>
      <c r="K7" s="372"/>
      <c r="L7" s="372"/>
      <c r="M7" s="372"/>
      <c r="N7" s="372"/>
      <c r="O7" s="375"/>
      <c r="P7" s="374" t="s">
        <v>239</v>
      </c>
      <c r="Q7" s="372"/>
      <c r="R7" s="375"/>
      <c r="S7" s="374" t="s">
        <v>240</v>
      </c>
      <c r="T7" s="372"/>
      <c r="U7" s="372"/>
      <c r="V7" s="375"/>
      <c r="W7" s="372" t="s">
        <v>258</v>
      </c>
      <c r="X7" s="372"/>
      <c r="Y7" s="372"/>
      <c r="Z7" s="372"/>
      <c r="AC7" s="6"/>
    </row>
    <row r="8" spans="1:29" ht="12.75" customHeight="1">
      <c r="A8" s="2"/>
      <c r="B8" s="2"/>
      <c r="C8" s="373"/>
      <c r="D8" s="373"/>
      <c r="E8" s="376"/>
      <c r="F8" s="373"/>
      <c r="G8" s="373"/>
      <c r="H8" s="373"/>
      <c r="I8" s="373"/>
      <c r="J8" s="373"/>
      <c r="K8" s="373"/>
      <c r="L8" s="373"/>
      <c r="M8" s="373"/>
      <c r="N8" s="373"/>
      <c r="O8" s="377"/>
      <c r="P8" s="376"/>
      <c r="Q8" s="373"/>
      <c r="R8" s="377"/>
      <c r="S8" s="376"/>
      <c r="T8" s="373"/>
      <c r="U8" s="373"/>
      <c r="V8" s="377"/>
      <c r="W8" s="373"/>
      <c r="X8" s="373"/>
      <c r="Y8" s="373"/>
      <c r="Z8" s="373"/>
      <c r="AC8" s="6"/>
    </row>
    <row r="9" spans="1:39" ht="12.75" customHeight="1">
      <c r="A9" s="2"/>
      <c r="B9" s="2"/>
      <c r="C9" s="2"/>
      <c r="D9" s="2"/>
      <c r="E9" s="114"/>
      <c r="F9" s="2"/>
      <c r="G9" s="2"/>
      <c r="H9" s="2"/>
      <c r="I9" s="2"/>
      <c r="J9" s="2"/>
      <c r="K9" s="2"/>
      <c r="L9" s="2"/>
      <c r="M9" s="2"/>
      <c r="N9" s="2"/>
      <c r="O9" s="115"/>
      <c r="S9" s="114"/>
      <c r="T9" s="2"/>
      <c r="U9" s="2"/>
      <c r="V9" s="115"/>
      <c r="AC9" s="6"/>
      <c r="AD9" s="369" t="s">
        <v>474</v>
      </c>
      <c r="AE9" s="370"/>
      <c r="AF9" s="370"/>
      <c r="AG9" s="370"/>
      <c r="AI9" s="64" t="s">
        <v>339</v>
      </c>
      <c r="AM9" s="64" t="s">
        <v>341</v>
      </c>
    </row>
    <row r="10" spans="1:42" ht="12.75" customHeight="1">
      <c r="A10" s="2"/>
      <c r="B10" s="2"/>
      <c r="C10" s="365">
        <v>1</v>
      </c>
      <c r="D10" s="365"/>
      <c r="E10" s="292" t="str">
        <f>" "&amp;data_sheet(AI10,AM10,AN10)</f>
        <v> H/E Name</v>
      </c>
      <c r="F10" s="2"/>
      <c r="G10" s="2"/>
      <c r="H10" s="2"/>
      <c r="I10" s="2"/>
      <c r="J10" s="2"/>
      <c r="K10" s="2"/>
      <c r="L10" s="2"/>
      <c r="M10" s="2"/>
      <c r="N10" s="2"/>
      <c r="O10" s="117"/>
      <c r="P10" s="5">
        <f>AI11</f>
        <v>1</v>
      </c>
      <c r="Q10" s="365" t="s">
        <v>259</v>
      </c>
      <c r="R10" s="366"/>
      <c r="S10" s="367">
        <f>data_sheet(AI10,AO10,AP10)</f>
        <v>42840000</v>
      </c>
      <c r="T10" s="363"/>
      <c r="U10" s="363"/>
      <c r="V10" s="368"/>
      <c r="W10" s="362">
        <f>P10*S10</f>
        <v>42840000</v>
      </c>
      <c r="X10" s="362"/>
      <c r="Y10" s="362"/>
      <c r="Z10" s="362"/>
      <c r="AD10" s="363">
        <f>S10/(H15*AI12)*1000/10000</f>
        <v>972.6593280922333</v>
      </c>
      <c r="AE10" s="363"/>
      <c r="AF10" s="363"/>
      <c r="AG10" s="363"/>
      <c r="AI10" s="113" t="s">
        <v>590</v>
      </c>
      <c r="AJ10" s="65"/>
      <c r="AK10" s="65"/>
      <c r="AL10" s="65"/>
      <c r="AM10" s="67">
        <v>8</v>
      </c>
      <c r="AN10" s="67">
        <v>5</v>
      </c>
      <c r="AO10" s="67">
        <v>182</v>
      </c>
      <c r="AP10" s="67">
        <v>26</v>
      </c>
    </row>
    <row r="11" spans="1:42" ht="12.75" customHeight="1">
      <c r="A11" s="2"/>
      <c r="B11" s="2"/>
      <c r="C11" s="2"/>
      <c r="D11" s="2"/>
      <c r="E11" s="116"/>
      <c r="F11" s="5"/>
      <c r="G11" s="5"/>
      <c r="H11" s="5"/>
      <c r="I11" s="5"/>
      <c r="J11" s="5"/>
      <c r="K11" s="5"/>
      <c r="L11" s="5"/>
      <c r="M11" s="5"/>
      <c r="N11" s="5"/>
      <c r="O11" s="117"/>
      <c r="P11" s="5"/>
      <c r="Q11" s="5"/>
      <c r="R11" s="5"/>
      <c r="S11" s="116"/>
      <c r="T11" s="5"/>
      <c r="U11" s="5"/>
      <c r="V11" s="117"/>
      <c r="AH11" s="63" t="s">
        <v>239</v>
      </c>
      <c r="AI11" s="74">
        <f>data_sheet(AI10,AO11,AP11)</f>
        <v>1</v>
      </c>
      <c r="AM11" s="1">
        <f>AM10+1</f>
        <v>9</v>
      </c>
      <c r="AN11" s="67">
        <v>14</v>
      </c>
      <c r="AO11" s="1">
        <f>AM10+1</f>
        <v>9</v>
      </c>
      <c r="AP11" s="67">
        <v>26</v>
      </c>
    </row>
    <row r="12" spans="1:42" ht="12.75" customHeight="1">
      <c r="A12" s="2"/>
      <c r="B12" s="2"/>
      <c r="C12" s="2"/>
      <c r="D12" s="2"/>
      <c r="E12" s="114" t="s">
        <v>344</v>
      </c>
      <c r="F12" s="2"/>
      <c r="G12" s="2"/>
      <c r="H12" s="2" t="str">
        <f>data_sheet(AI10,AM11,AN11)</f>
        <v>B E M</v>
      </c>
      <c r="I12" s="2"/>
      <c r="J12" s="2"/>
      <c r="K12" s="2"/>
      <c r="L12" s="2"/>
      <c r="M12" s="2"/>
      <c r="N12" s="2"/>
      <c r="O12" s="115"/>
      <c r="P12" s="2"/>
      <c r="Q12" s="2"/>
      <c r="R12" s="2"/>
      <c r="S12" s="114"/>
      <c r="T12" s="2"/>
      <c r="U12" s="2"/>
      <c r="V12" s="115"/>
      <c r="AC12" s="6"/>
      <c r="AH12" s="63" t="s">
        <v>340</v>
      </c>
      <c r="AI12" s="75">
        <f>data_sheet(AI10,AO12,AP12)</f>
        <v>1</v>
      </c>
      <c r="AM12" s="1">
        <f>AM10+1</f>
        <v>9</v>
      </c>
      <c r="AN12" s="1">
        <f>AN10</f>
        <v>5</v>
      </c>
      <c r="AO12" s="1">
        <f>AO11+1</f>
        <v>10</v>
      </c>
      <c r="AP12" s="1">
        <f>AP11</f>
        <v>26</v>
      </c>
    </row>
    <row r="13" spans="1:42" ht="12.75" customHeight="1">
      <c r="A13" s="2"/>
      <c r="B13" s="2"/>
      <c r="C13" s="2"/>
      <c r="D13" s="2"/>
      <c r="E13" s="114" t="s">
        <v>345</v>
      </c>
      <c r="F13" s="2"/>
      <c r="G13" s="2"/>
      <c r="H13" s="2" t="str">
        <f>data_sheet(AI10,AM12,AN12)</f>
        <v>Shell 600 ID x 5800 Length,Eff.</v>
      </c>
      <c r="I13" s="2"/>
      <c r="J13" s="2"/>
      <c r="K13" s="2"/>
      <c r="L13" s="2"/>
      <c r="M13" s="2"/>
      <c r="N13" s="2"/>
      <c r="O13" s="117"/>
      <c r="P13" s="183">
        <f>IF(AI12&lt;=1,"","x")</f>
      </c>
      <c r="Q13" s="361">
        <f>IF(AI12&lt;=1,"",AI12)</f>
      </c>
      <c r="R13" s="361"/>
      <c r="S13" s="114">
        <f>IF(AI12&lt;=1,""," Shells / Unit")</f>
      </c>
      <c r="T13" s="2"/>
      <c r="U13" s="2"/>
      <c r="V13" s="115"/>
      <c r="AM13" s="1">
        <f>AM12+1</f>
        <v>10</v>
      </c>
      <c r="AN13" s="1">
        <f>AN12</f>
        <v>5</v>
      </c>
      <c r="AO13" s="67">
        <v>7</v>
      </c>
      <c r="AP13" s="67">
        <v>18</v>
      </c>
    </row>
    <row r="14" spans="1:22" ht="12.75" customHeight="1">
      <c r="A14" s="2"/>
      <c r="B14" s="2"/>
      <c r="C14" s="2"/>
      <c r="D14" s="2"/>
      <c r="E14" s="114" t="s">
        <v>346</v>
      </c>
      <c r="F14" s="2"/>
      <c r="G14" s="2"/>
      <c r="H14" s="364">
        <f>data_sheet(AI10,AM13,AN13)</f>
        <v>129.82085003838097</v>
      </c>
      <c r="I14" s="364"/>
      <c r="J14" s="364"/>
      <c r="K14" s="2" t="s">
        <v>342</v>
      </c>
      <c r="L14" s="2"/>
      <c r="M14" s="2"/>
      <c r="N14" s="2"/>
      <c r="O14" s="117"/>
      <c r="P14" s="183">
        <f>P13</f>
      </c>
      <c r="Q14" s="361">
        <f>Q13</f>
      </c>
      <c r="R14" s="361"/>
      <c r="S14" s="114">
        <f>S13</f>
      </c>
      <c r="T14" s="2"/>
      <c r="U14" s="2"/>
      <c r="V14" s="115"/>
    </row>
    <row r="15" spans="1:29" ht="12.75" customHeight="1">
      <c r="A15" s="5"/>
      <c r="B15" s="5"/>
      <c r="C15" s="5"/>
      <c r="D15" s="5"/>
      <c r="E15" s="114" t="s">
        <v>347</v>
      </c>
      <c r="F15" s="2"/>
      <c r="G15" s="2"/>
      <c r="H15" s="360">
        <f>data_sheet(AI10,AO13,AP13)</f>
        <v>4404.419796602995</v>
      </c>
      <c r="I15" s="360"/>
      <c r="J15" s="360"/>
      <c r="K15" s="2" t="s">
        <v>343</v>
      </c>
      <c r="L15" s="2"/>
      <c r="M15" s="2"/>
      <c r="N15" s="2"/>
      <c r="O15" s="117"/>
      <c r="P15" s="183">
        <f>P14</f>
      </c>
      <c r="Q15" s="361">
        <f>Q14</f>
      </c>
      <c r="R15" s="361"/>
      <c r="S15" s="114">
        <f>S14</f>
      </c>
      <c r="T15" s="2"/>
      <c r="U15" s="2"/>
      <c r="V15" s="115"/>
      <c r="W15" s="5"/>
      <c r="X15" s="5"/>
      <c r="Y15" s="5"/>
      <c r="Z15" s="5"/>
      <c r="AA15" s="5"/>
      <c r="AB15" s="5"/>
      <c r="AC15" s="5"/>
    </row>
    <row r="16" spans="1:42" ht="12.75" customHeight="1">
      <c r="A16" s="5"/>
      <c r="B16" s="5"/>
      <c r="C16" s="5"/>
      <c r="D16" s="5"/>
      <c r="E16" s="116" t="s">
        <v>455</v>
      </c>
      <c r="F16" s="5"/>
      <c r="G16" s="5"/>
      <c r="H16" s="5"/>
      <c r="I16" s="5"/>
      <c r="J16" s="5"/>
      <c r="K16" s="5"/>
      <c r="L16" s="5"/>
      <c r="M16" s="5"/>
      <c r="N16" s="5"/>
      <c r="O16" s="117"/>
      <c r="P16" s="5">
        <f>P10</f>
        <v>1</v>
      </c>
      <c r="Q16" s="365" t="s">
        <v>259</v>
      </c>
      <c r="R16" s="366"/>
      <c r="S16" s="367">
        <f>data_sheet(AI10,AO16,AP16)</f>
        <v>230000</v>
      </c>
      <c r="T16" s="363"/>
      <c r="U16" s="363"/>
      <c r="V16" s="368"/>
      <c r="W16" s="362">
        <f>P16*S16</f>
        <v>230000</v>
      </c>
      <c r="X16" s="362"/>
      <c r="Y16" s="362"/>
      <c r="Z16" s="362"/>
      <c r="AA16" s="5"/>
      <c r="AB16" s="5"/>
      <c r="AC16" s="5"/>
      <c r="AO16" s="67">
        <v>206</v>
      </c>
      <c r="AP16" s="1">
        <f>AP10</f>
        <v>26</v>
      </c>
    </row>
    <row r="17" spans="1:42" ht="12.75" customHeight="1">
      <c r="A17" s="5"/>
      <c r="B17" s="5"/>
      <c r="C17" s="5"/>
      <c r="D17" s="5"/>
      <c r="E17" s="116" t="s">
        <v>456</v>
      </c>
      <c r="F17" s="5"/>
      <c r="G17" s="5"/>
      <c r="H17" s="5"/>
      <c r="I17" s="5"/>
      <c r="J17" s="5"/>
      <c r="K17" s="5"/>
      <c r="L17" s="5"/>
      <c r="M17" s="5"/>
      <c r="N17" s="5"/>
      <c r="O17" s="117"/>
      <c r="P17" s="5">
        <f>P16</f>
        <v>1</v>
      </c>
      <c r="Q17" s="365" t="s">
        <v>259</v>
      </c>
      <c r="R17" s="366"/>
      <c r="S17" s="367">
        <f>data_sheet(AI10,AO17,AP17)</f>
        <v>600000</v>
      </c>
      <c r="T17" s="363"/>
      <c r="U17" s="363"/>
      <c r="V17" s="368"/>
      <c r="W17" s="362">
        <f>P17*S17</f>
        <v>600000</v>
      </c>
      <c r="X17" s="362"/>
      <c r="Y17" s="362"/>
      <c r="Z17" s="362"/>
      <c r="AA17" s="5"/>
      <c r="AB17" s="5"/>
      <c r="AC17" s="5"/>
      <c r="AO17" s="67">
        <v>228</v>
      </c>
      <c r="AP17" s="1">
        <f>AP16</f>
        <v>26</v>
      </c>
    </row>
    <row r="18" spans="1:22" ht="12.75" customHeight="1">
      <c r="A18" s="2"/>
      <c r="B18" s="2"/>
      <c r="C18" s="2"/>
      <c r="D18" s="2"/>
      <c r="E18" s="114"/>
      <c r="F18" s="2"/>
      <c r="G18" s="2"/>
      <c r="H18" s="2"/>
      <c r="I18" s="2"/>
      <c r="J18" s="2"/>
      <c r="K18" s="2"/>
      <c r="L18" s="2"/>
      <c r="M18" s="2"/>
      <c r="N18" s="2"/>
      <c r="O18" s="115"/>
      <c r="P18" s="2"/>
      <c r="Q18" s="2"/>
      <c r="R18" s="2"/>
      <c r="S18" s="114"/>
      <c r="T18" s="2"/>
      <c r="U18" s="2"/>
      <c r="V18" s="115"/>
    </row>
    <row r="19" spans="1:42" ht="12.75" customHeight="1">
      <c r="A19" s="2"/>
      <c r="B19" s="2"/>
      <c r="C19" s="365">
        <f>C10+1</f>
        <v>2</v>
      </c>
      <c r="D19" s="365"/>
      <c r="E19" s="292" t="str">
        <f>" "&amp;data_sheet(AI19,AM19,AN19)</f>
        <v> H/E Name</v>
      </c>
      <c r="F19" s="2"/>
      <c r="G19" s="2"/>
      <c r="H19" s="2"/>
      <c r="I19" s="2"/>
      <c r="J19" s="2"/>
      <c r="K19" s="2"/>
      <c r="L19" s="2"/>
      <c r="M19" s="2"/>
      <c r="N19" s="2"/>
      <c r="O19" s="117"/>
      <c r="P19" s="5">
        <f>AI20</f>
        <v>1</v>
      </c>
      <c r="Q19" s="365" t="s">
        <v>259</v>
      </c>
      <c r="R19" s="366"/>
      <c r="S19" s="367">
        <f>data_sheet(AI19,AO19,AP19)</f>
        <v>42840000</v>
      </c>
      <c r="T19" s="363"/>
      <c r="U19" s="363"/>
      <c r="V19" s="368"/>
      <c r="W19" s="362">
        <f>P19*S19</f>
        <v>42840000</v>
      </c>
      <c r="X19" s="362"/>
      <c r="Y19" s="362"/>
      <c r="Z19" s="362"/>
      <c r="AD19" s="363">
        <f>S19/(H24*AI21)*1000/10000</f>
        <v>972.6593280922333</v>
      </c>
      <c r="AE19" s="363"/>
      <c r="AF19" s="363"/>
      <c r="AG19" s="363"/>
      <c r="AI19" s="113" t="s">
        <v>590</v>
      </c>
      <c r="AJ19" s="65"/>
      <c r="AK19" s="65"/>
      <c r="AL19" s="65"/>
      <c r="AM19" s="192">
        <f>AM$10</f>
        <v>8</v>
      </c>
      <c r="AN19" s="192">
        <f>AN$10</f>
        <v>5</v>
      </c>
      <c r="AO19" s="192">
        <f>AO$10</f>
        <v>182</v>
      </c>
      <c r="AP19" s="192">
        <f>AP$10</f>
        <v>26</v>
      </c>
    </row>
    <row r="20" spans="1:42" ht="12.75" customHeight="1">
      <c r="A20" s="2"/>
      <c r="B20" s="2"/>
      <c r="C20" s="2"/>
      <c r="D20" s="2"/>
      <c r="E20" s="116"/>
      <c r="F20" s="5"/>
      <c r="G20" s="5"/>
      <c r="H20" s="5"/>
      <c r="I20" s="5"/>
      <c r="J20" s="5"/>
      <c r="K20" s="5"/>
      <c r="L20" s="5"/>
      <c r="M20" s="5"/>
      <c r="N20" s="5"/>
      <c r="O20" s="117"/>
      <c r="P20" s="5"/>
      <c r="Q20" s="5"/>
      <c r="R20" s="5"/>
      <c r="S20" s="116"/>
      <c r="T20" s="5"/>
      <c r="U20" s="5"/>
      <c r="V20" s="117"/>
      <c r="AH20" s="63" t="s">
        <v>239</v>
      </c>
      <c r="AI20" s="74">
        <f>data_sheet(AI19,AO20,AP20)</f>
        <v>1</v>
      </c>
      <c r="AM20" s="1">
        <f>AM19+1</f>
        <v>9</v>
      </c>
      <c r="AN20" s="192">
        <f>AN$11</f>
        <v>14</v>
      </c>
      <c r="AO20" s="1">
        <f>AM19+1</f>
        <v>9</v>
      </c>
      <c r="AP20" s="192">
        <f>AP$11</f>
        <v>26</v>
      </c>
    </row>
    <row r="21" spans="1:42" ht="12.75" customHeight="1">
      <c r="A21" s="2"/>
      <c r="B21" s="2"/>
      <c r="C21" s="2"/>
      <c r="D21" s="2"/>
      <c r="E21" s="114" t="s">
        <v>344</v>
      </c>
      <c r="F21" s="2"/>
      <c r="G21" s="2"/>
      <c r="H21" s="2" t="str">
        <f>data_sheet(AI19,AM20,AN20)</f>
        <v>B E M</v>
      </c>
      <c r="I21" s="2"/>
      <c r="J21" s="2"/>
      <c r="K21" s="2"/>
      <c r="L21" s="2"/>
      <c r="M21" s="2"/>
      <c r="N21" s="2"/>
      <c r="O21" s="115"/>
      <c r="P21" s="2"/>
      <c r="Q21" s="2"/>
      <c r="R21" s="2"/>
      <c r="S21" s="114"/>
      <c r="T21" s="2"/>
      <c r="U21" s="2"/>
      <c r="V21" s="115"/>
      <c r="AC21" s="6"/>
      <c r="AH21" s="63" t="s">
        <v>340</v>
      </c>
      <c r="AI21" s="75">
        <f>data_sheet(AI19,AO21,AP21)</f>
        <v>1</v>
      </c>
      <c r="AM21" s="1">
        <f>AM19+1</f>
        <v>9</v>
      </c>
      <c r="AN21" s="1">
        <f>AN19</f>
        <v>5</v>
      </c>
      <c r="AO21" s="1">
        <f>AO20+1</f>
        <v>10</v>
      </c>
      <c r="AP21" s="1">
        <f>AP20</f>
        <v>26</v>
      </c>
    </row>
    <row r="22" spans="1:42" ht="12.75" customHeight="1">
      <c r="A22" s="2"/>
      <c r="B22" s="2"/>
      <c r="C22" s="2"/>
      <c r="D22" s="2"/>
      <c r="E22" s="114" t="s">
        <v>345</v>
      </c>
      <c r="F22" s="2"/>
      <c r="G22" s="2"/>
      <c r="H22" s="2" t="str">
        <f>data_sheet(AI19,AM21,AN21)</f>
        <v>Shell 600 ID x 5800 Length,Eff.</v>
      </c>
      <c r="I22" s="2"/>
      <c r="J22" s="2"/>
      <c r="K22" s="2"/>
      <c r="L22" s="2"/>
      <c r="M22" s="2"/>
      <c r="N22" s="2"/>
      <c r="O22" s="117"/>
      <c r="P22" s="183">
        <f>IF(AI21&lt;=1,"","x")</f>
      </c>
      <c r="Q22" s="361">
        <f>IF(AI21&lt;=1,"",AI21)</f>
      </c>
      <c r="R22" s="361"/>
      <c r="S22" s="114">
        <f>IF(AI21&lt;=1,""," Shells / Unit")</f>
      </c>
      <c r="T22" s="2"/>
      <c r="U22" s="2"/>
      <c r="V22" s="115"/>
      <c r="AM22" s="1">
        <f>AM21+1</f>
        <v>10</v>
      </c>
      <c r="AN22" s="1">
        <f>AN21</f>
        <v>5</v>
      </c>
      <c r="AO22" s="192">
        <f>AO$13</f>
        <v>7</v>
      </c>
      <c r="AP22" s="192">
        <f>AP$13</f>
        <v>18</v>
      </c>
    </row>
    <row r="23" spans="1:22" ht="12.75" customHeight="1">
      <c r="A23" s="2"/>
      <c r="B23" s="2"/>
      <c r="C23" s="2"/>
      <c r="D23" s="2"/>
      <c r="E23" s="114" t="s">
        <v>346</v>
      </c>
      <c r="F23" s="2"/>
      <c r="G23" s="2"/>
      <c r="H23" s="364">
        <f>data_sheet(AI19,AM22,AN22)</f>
        <v>129.82085003838097</v>
      </c>
      <c r="I23" s="364"/>
      <c r="J23" s="364"/>
      <c r="K23" s="2" t="s">
        <v>342</v>
      </c>
      <c r="L23" s="2"/>
      <c r="M23" s="2"/>
      <c r="N23" s="2"/>
      <c r="O23" s="117"/>
      <c r="P23" s="183">
        <f>P22</f>
      </c>
      <c r="Q23" s="361">
        <f>Q22</f>
      </c>
      <c r="R23" s="361"/>
      <c r="S23" s="114">
        <f>S22</f>
      </c>
      <c r="T23" s="2"/>
      <c r="U23" s="2"/>
      <c r="V23" s="115"/>
    </row>
    <row r="24" spans="1:29" ht="12.75" customHeight="1">
      <c r="A24" s="5"/>
      <c r="B24" s="5"/>
      <c r="C24" s="5"/>
      <c r="D24" s="5"/>
      <c r="E24" s="114" t="s">
        <v>347</v>
      </c>
      <c r="F24" s="2"/>
      <c r="G24" s="2"/>
      <c r="H24" s="360">
        <f>data_sheet(AI19,AO22,AP22)</f>
        <v>4404.419796602995</v>
      </c>
      <c r="I24" s="360"/>
      <c r="J24" s="360"/>
      <c r="K24" s="2" t="s">
        <v>343</v>
      </c>
      <c r="L24" s="2"/>
      <c r="M24" s="2"/>
      <c r="N24" s="2"/>
      <c r="O24" s="117"/>
      <c r="P24" s="183">
        <f>P23</f>
      </c>
      <c r="Q24" s="361">
        <f>Q23</f>
      </c>
      <c r="R24" s="361"/>
      <c r="S24" s="114">
        <f>S23</f>
      </c>
      <c r="T24" s="2"/>
      <c r="U24" s="2"/>
      <c r="V24" s="115"/>
      <c r="W24" s="5"/>
      <c r="X24" s="5"/>
      <c r="Y24" s="5"/>
      <c r="Z24" s="5"/>
      <c r="AA24" s="5"/>
      <c r="AB24" s="5"/>
      <c r="AC24" s="5"/>
    </row>
    <row r="25" spans="1:42" ht="12.75" customHeight="1">
      <c r="A25" s="5"/>
      <c r="B25" s="5"/>
      <c r="C25" s="5"/>
      <c r="D25" s="5"/>
      <c r="E25" s="116" t="s">
        <v>455</v>
      </c>
      <c r="F25" s="5"/>
      <c r="G25" s="5"/>
      <c r="H25" s="5"/>
      <c r="I25" s="5"/>
      <c r="J25" s="5"/>
      <c r="K25" s="5"/>
      <c r="L25" s="5"/>
      <c r="M25" s="5"/>
      <c r="N25" s="5"/>
      <c r="O25" s="117"/>
      <c r="P25" s="5">
        <f>P19</f>
        <v>1</v>
      </c>
      <c r="Q25" s="365" t="s">
        <v>259</v>
      </c>
      <c r="R25" s="366"/>
      <c r="S25" s="367">
        <f>data_sheet(AI19,AO25,AP25)</f>
        <v>230000</v>
      </c>
      <c r="T25" s="363"/>
      <c r="U25" s="363"/>
      <c r="V25" s="368"/>
      <c r="W25" s="362">
        <f>P25*S25</f>
        <v>230000</v>
      </c>
      <c r="X25" s="362"/>
      <c r="Y25" s="362"/>
      <c r="Z25" s="362"/>
      <c r="AA25" s="5"/>
      <c r="AB25" s="5"/>
      <c r="AC25" s="5"/>
      <c r="AO25" s="192">
        <f>AO$16</f>
        <v>206</v>
      </c>
      <c r="AP25" s="1">
        <f>AP19</f>
        <v>26</v>
      </c>
    </row>
    <row r="26" spans="1:42" ht="12.75" customHeight="1">
      <c r="A26" s="5"/>
      <c r="B26" s="5"/>
      <c r="C26" s="5"/>
      <c r="D26" s="5"/>
      <c r="E26" s="116" t="s">
        <v>456</v>
      </c>
      <c r="F26" s="5"/>
      <c r="G26" s="5"/>
      <c r="H26" s="5"/>
      <c r="I26" s="5"/>
      <c r="J26" s="5"/>
      <c r="K26" s="5"/>
      <c r="L26" s="5"/>
      <c r="M26" s="5"/>
      <c r="N26" s="5"/>
      <c r="O26" s="117"/>
      <c r="P26" s="5">
        <f>P25</f>
        <v>1</v>
      </c>
      <c r="Q26" s="365" t="s">
        <v>259</v>
      </c>
      <c r="R26" s="366"/>
      <c r="S26" s="367">
        <f>data_sheet(AI19,AO26,AP26)</f>
        <v>600000</v>
      </c>
      <c r="T26" s="363"/>
      <c r="U26" s="363"/>
      <c r="V26" s="368"/>
      <c r="W26" s="362">
        <f>P26*S26</f>
        <v>600000</v>
      </c>
      <c r="X26" s="362"/>
      <c r="Y26" s="362"/>
      <c r="Z26" s="362"/>
      <c r="AA26" s="5"/>
      <c r="AB26" s="5"/>
      <c r="AC26" s="5"/>
      <c r="AO26" s="192">
        <f>AO$17</f>
        <v>228</v>
      </c>
      <c r="AP26" s="1">
        <f>AP25</f>
        <v>26</v>
      </c>
    </row>
    <row r="27" spans="1:29" ht="12.75" customHeight="1">
      <c r="A27" s="5"/>
      <c r="B27" s="5"/>
      <c r="C27" s="5"/>
      <c r="D27" s="5"/>
      <c r="E27" s="116"/>
      <c r="F27" s="5"/>
      <c r="G27" s="5"/>
      <c r="H27" s="5"/>
      <c r="I27" s="5"/>
      <c r="J27" s="5"/>
      <c r="K27" s="5"/>
      <c r="L27" s="5"/>
      <c r="M27" s="5"/>
      <c r="N27" s="5"/>
      <c r="O27" s="117"/>
      <c r="P27" s="5"/>
      <c r="Q27" s="5"/>
      <c r="R27" s="5"/>
      <c r="S27" s="116"/>
      <c r="T27" s="5"/>
      <c r="U27" s="5"/>
      <c r="V27" s="117"/>
      <c r="W27" s="6"/>
      <c r="X27" s="6"/>
      <c r="Y27" s="6"/>
      <c r="Z27" s="6"/>
      <c r="AA27" s="6"/>
      <c r="AB27" s="6"/>
      <c r="AC27" s="6"/>
    </row>
    <row r="28" spans="1:22" ht="12.75" customHeight="1">
      <c r="A28" s="2"/>
      <c r="B28" s="2"/>
      <c r="C28" s="2"/>
      <c r="D28" s="2"/>
      <c r="E28" s="114"/>
      <c r="F28" s="2"/>
      <c r="G28" s="2"/>
      <c r="H28" s="2"/>
      <c r="I28" s="2"/>
      <c r="J28" s="2"/>
      <c r="K28" s="2"/>
      <c r="L28" s="2"/>
      <c r="M28" s="2"/>
      <c r="N28" s="2"/>
      <c r="O28" s="115"/>
      <c r="P28" s="2"/>
      <c r="Q28" s="2"/>
      <c r="R28" s="2"/>
      <c r="S28" s="114"/>
      <c r="T28" s="2"/>
      <c r="U28" s="2"/>
      <c r="V28" s="115"/>
    </row>
    <row r="29" spans="1:22" ht="12.75" customHeight="1">
      <c r="A29" s="2"/>
      <c r="B29" s="2"/>
      <c r="C29" s="2"/>
      <c r="D29" s="2"/>
      <c r="E29" s="114"/>
      <c r="F29" s="2"/>
      <c r="G29" s="2"/>
      <c r="H29" s="2"/>
      <c r="I29" s="2"/>
      <c r="J29" s="2"/>
      <c r="K29" s="2"/>
      <c r="L29" s="2"/>
      <c r="M29" s="2"/>
      <c r="N29" s="2"/>
      <c r="O29" s="115"/>
      <c r="P29" s="2"/>
      <c r="Q29" s="2"/>
      <c r="R29" s="2"/>
      <c r="S29" s="114"/>
      <c r="T29" s="2"/>
      <c r="U29" s="2"/>
      <c r="V29" s="115"/>
    </row>
    <row r="30" spans="1:22" ht="12.75" customHeight="1">
      <c r="A30" s="2"/>
      <c r="B30" s="2"/>
      <c r="C30" s="2"/>
      <c r="D30" s="2"/>
      <c r="E30" s="114"/>
      <c r="F30" s="2"/>
      <c r="G30" s="2"/>
      <c r="H30" s="2"/>
      <c r="I30" s="2"/>
      <c r="J30" s="2"/>
      <c r="K30" s="2"/>
      <c r="L30" s="2"/>
      <c r="M30" s="2"/>
      <c r="N30" s="2"/>
      <c r="O30" s="115"/>
      <c r="P30" s="2"/>
      <c r="Q30" s="2"/>
      <c r="R30" s="2"/>
      <c r="S30" s="114"/>
      <c r="T30" s="2"/>
      <c r="U30" s="2"/>
      <c r="V30" s="115"/>
    </row>
    <row r="31" spans="1:22" ht="12.75" customHeight="1">
      <c r="A31" s="2"/>
      <c r="B31" s="2"/>
      <c r="C31" s="2"/>
      <c r="D31" s="2"/>
      <c r="E31" s="114"/>
      <c r="F31" s="2"/>
      <c r="G31" s="2"/>
      <c r="H31" s="2"/>
      <c r="I31" s="2"/>
      <c r="J31" s="2"/>
      <c r="K31" s="2"/>
      <c r="L31" s="2"/>
      <c r="M31" s="2"/>
      <c r="N31" s="2"/>
      <c r="O31" s="115"/>
      <c r="P31" s="2"/>
      <c r="Q31" s="2"/>
      <c r="R31" s="2"/>
      <c r="S31" s="114"/>
      <c r="T31" s="2"/>
      <c r="U31" s="2"/>
      <c r="V31" s="115"/>
    </row>
    <row r="32" spans="1:22" ht="12.75" customHeight="1">
      <c r="A32" s="2"/>
      <c r="B32" s="2"/>
      <c r="C32" s="2"/>
      <c r="D32" s="2"/>
      <c r="E32" s="114"/>
      <c r="F32" s="2"/>
      <c r="G32" s="2"/>
      <c r="H32" s="2"/>
      <c r="I32" s="2"/>
      <c r="J32" s="2"/>
      <c r="K32" s="2"/>
      <c r="L32" s="2"/>
      <c r="M32" s="2"/>
      <c r="N32" s="2"/>
      <c r="O32" s="115"/>
      <c r="P32" s="2"/>
      <c r="Q32" s="2"/>
      <c r="R32" s="2"/>
      <c r="S32" s="114"/>
      <c r="T32" s="2"/>
      <c r="U32" s="2"/>
      <c r="V32" s="115"/>
    </row>
    <row r="33" spans="1:22" ht="12.75" customHeight="1">
      <c r="A33" s="2"/>
      <c r="B33" s="2"/>
      <c r="C33" s="2"/>
      <c r="D33" s="2"/>
      <c r="E33" s="114"/>
      <c r="F33" s="2"/>
      <c r="G33" s="2"/>
      <c r="H33" s="2"/>
      <c r="I33" s="2"/>
      <c r="J33" s="2"/>
      <c r="K33" s="2"/>
      <c r="L33" s="2"/>
      <c r="M33" s="2"/>
      <c r="N33" s="2"/>
      <c r="O33" s="115"/>
      <c r="P33" s="2"/>
      <c r="Q33" s="2"/>
      <c r="R33" s="2"/>
      <c r="S33" s="114"/>
      <c r="T33" s="2"/>
      <c r="U33" s="2"/>
      <c r="V33" s="115"/>
    </row>
    <row r="34" spans="1:22" ht="12.75" customHeight="1">
      <c r="A34" s="2"/>
      <c r="B34" s="2"/>
      <c r="C34" s="2"/>
      <c r="D34" s="2"/>
      <c r="E34" s="114"/>
      <c r="F34" s="2"/>
      <c r="G34" s="2"/>
      <c r="H34" s="2"/>
      <c r="I34" s="2"/>
      <c r="J34" s="2"/>
      <c r="K34" s="2"/>
      <c r="L34" s="2"/>
      <c r="M34" s="2"/>
      <c r="N34" s="2"/>
      <c r="O34" s="115"/>
      <c r="P34" s="2"/>
      <c r="Q34" s="2"/>
      <c r="R34" s="2"/>
      <c r="S34" s="114"/>
      <c r="T34" s="2"/>
      <c r="U34" s="2"/>
      <c r="V34" s="115"/>
    </row>
    <row r="35" spans="1:22" ht="12.75" customHeight="1">
      <c r="A35" s="2"/>
      <c r="B35" s="2"/>
      <c r="C35" s="2"/>
      <c r="D35" s="2"/>
      <c r="E35" s="114"/>
      <c r="F35" s="2"/>
      <c r="G35" s="2"/>
      <c r="H35" s="2"/>
      <c r="I35" s="2"/>
      <c r="J35" s="2"/>
      <c r="K35" s="2"/>
      <c r="L35" s="2"/>
      <c r="M35" s="2"/>
      <c r="N35" s="2"/>
      <c r="O35" s="115"/>
      <c r="P35" s="2"/>
      <c r="Q35" s="2"/>
      <c r="R35" s="2"/>
      <c r="S35" s="114"/>
      <c r="T35" s="2"/>
      <c r="U35" s="2"/>
      <c r="V35" s="115"/>
    </row>
    <row r="36" spans="1:29" ht="12.75" customHeight="1">
      <c r="A36" s="5"/>
      <c r="B36" s="5"/>
      <c r="C36" s="5"/>
      <c r="D36" s="5"/>
      <c r="E36" s="116"/>
      <c r="F36" s="5"/>
      <c r="G36" s="5"/>
      <c r="H36" s="5"/>
      <c r="I36" s="5"/>
      <c r="J36" s="5"/>
      <c r="K36" s="5"/>
      <c r="L36" s="5"/>
      <c r="M36" s="5"/>
      <c r="N36" s="5"/>
      <c r="O36" s="117"/>
      <c r="P36" s="5"/>
      <c r="Q36" s="5"/>
      <c r="R36" s="5"/>
      <c r="S36" s="116"/>
      <c r="T36" s="5"/>
      <c r="U36" s="5"/>
      <c r="V36" s="117"/>
      <c r="W36" s="6"/>
      <c r="X36" s="6"/>
      <c r="Y36" s="6"/>
      <c r="Z36" s="6"/>
      <c r="AA36" s="6"/>
      <c r="AB36" s="6"/>
      <c r="AC36" s="6"/>
    </row>
    <row r="37" spans="1:29" ht="12.75" customHeight="1">
      <c r="A37" s="5"/>
      <c r="B37" s="5"/>
      <c r="C37" s="5"/>
      <c r="D37" s="5"/>
      <c r="E37" s="116"/>
      <c r="F37" s="5"/>
      <c r="G37" s="5"/>
      <c r="H37" s="5"/>
      <c r="I37" s="5"/>
      <c r="J37" s="5"/>
      <c r="K37" s="5"/>
      <c r="L37" s="5"/>
      <c r="M37" s="5"/>
      <c r="N37" s="5"/>
      <c r="O37" s="117"/>
      <c r="P37" s="5"/>
      <c r="Q37" s="5"/>
      <c r="R37" s="5"/>
      <c r="S37" s="116"/>
      <c r="T37" s="5"/>
      <c r="U37" s="5"/>
      <c r="V37" s="117"/>
      <c r="W37" s="5"/>
      <c r="X37" s="5"/>
      <c r="Y37" s="5"/>
      <c r="Z37" s="5"/>
      <c r="AA37" s="5"/>
      <c r="AB37" s="5"/>
      <c r="AC37" s="5"/>
    </row>
    <row r="38" spans="1:22" ht="12.75" customHeight="1">
      <c r="A38" s="2"/>
      <c r="B38" s="2"/>
      <c r="C38" s="2"/>
      <c r="D38" s="2"/>
      <c r="E38" s="114"/>
      <c r="F38" s="2"/>
      <c r="G38" s="2"/>
      <c r="H38" s="2"/>
      <c r="I38" s="2"/>
      <c r="J38" s="2"/>
      <c r="K38" s="2"/>
      <c r="L38" s="2"/>
      <c r="M38" s="2"/>
      <c r="N38" s="2"/>
      <c r="O38" s="115"/>
      <c r="P38" s="2"/>
      <c r="Q38" s="2"/>
      <c r="R38" s="2"/>
      <c r="S38" s="114"/>
      <c r="T38" s="2"/>
      <c r="U38" s="2"/>
      <c r="V38" s="115"/>
    </row>
    <row r="39" spans="1:29" ht="12.75" customHeight="1">
      <c r="A39" s="2"/>
      <c r="B39" s="2"/>
      <c r="C39" s="2"/>
      <c r="D39" s="2"/>
      <c r="E39" s="114"/>
      <c r="F39" s="2"/>
      <c r="G39" s="2"/>
      <c r="H39" s="2"/>
      <c r="I39" s="2"/>
      <c r="J39" s="2"/>
      <c r="K39" s="2"/>
      <c r="L39" s="2"/>
      <c r="M39" s="2"/>
      <c r="N39" s="2"/>
      <c r="O39" s="115"/>
      <c r="P39" s="2"/>
      <c r="Q39" s="2"/>
      <c r="R39" s="2"/>
      <c r="S39" s="114"/>
      <c r="T39" s="2"/>
      <c r="U39" s="2"/>
      <c r="V39" s="115"/>
      <c r="AC39" s="6"/>
    </row>
    <row r="40" spans="1:22" ht="12.75" customHeight="1">
      <c r="A40" s="2"/>
      <c r="B40" s="2"/>
      <c r="C40" s="2"/>
      <c r="D40" s="2"/>
      <c r="E40" s="114"/>
      <c r="F40" s="2"/>
      <c r="G40" s="2"/>
      <c r="H40" s="2"/>
      <c r="I40" s="2"/>
      <c r="J40" s="2"/>
      <c r="K40" s="2"/>
      <c r="L40" s="2"/>
      <c r="M40" s="2"/>
      <c r="N40" s="2"/>
      <c r="O40" s="115"/>
      <c r="P40" s="2"/>
      <c r="Q40" s="2"/>
      <c r="R40" s="2"/>
      <c r="S40" s="114"/>
      <c r="T40" s="2"/>
      <c r="U40" s="2"/>
      <c r="V40" s="115"/>
    </row>
    <row r="41" spans="1:22" ht="12.75" customHeight="1">
      <c r="A41" s="2"/>
      <c r="B41" s="2"/>
      <c r="C41" s="2"/>
      <c r="D41" s="2"/>
      <c r="E41" s="114"/>
      <c r="F41" s="2"/>
      <c r="G41" s="2"/>
      <c r="H41" s="2"/>
      <c r="I41" s="2"/>
      <c r="J41" s="2"/>
      <c r="K41" s="2"/>
      <c r="L41" s="2"/>
      <c r="M41" s="2"/>
      <c r="N41" s="2"/>
      <c r="O41" s="115"/>
      <c r="P41" s="2"/>
      <c r="Q41" s="2"/>
      <c r="R41" s="2"/>
      <c r="S41" s="114"/>
      <c r="T41" s="2"/>
      <c r="U41" s="2"/>
      <c r="V41" s="115"/>
    </row>
    <row r="42" spans="1:22" ht="12.75" customHeight="1">
      <c r="A42" s="2"/>
      <c r="B42" s="2"/>
      <c r="C42" s="2"/>
      <c r="D42" s="2"/>
      <c r="E42" s="114"/>
      <c r="F42" s="2"/>
      <c r="G42" s="2"/>
      <c r="H42" s="2"/>
      <c r="I42" s="2"/>
      <c r="J42" s="2"/>
      <c r="K42" s="2"/>
      <c r="L42" s="2"/>
      <c r="M42" s="2"/>
      <c r="N42" s="2"/>
      <c r="O42" s="115"/>
      <c r="P42" s="2"/>
      <c r="Q42" s="2"/>
      <c r="R42" s="2"/>
      <c r="S42" s="114"/>
      <c r="T42" s="2"/>
      <c r="U42" s="2"/>
      <c r="V42" s="115"/>
    </row>
    <row r="43" spans="1:22" ht="12.75" customHeight="1">
      <c r="A43" s="2"/>
      <c r="B43" s="2"/>
      <c r="C43" s="2"/>
      <c r="D43" s="2"/>
      <c r="E43" s="114"/>
      <c r="F43" s="2"/>
      <c r="G43" s="2"/>
      <c r="H43" s="2"/>
      <c r="I43" s="2"/>
      <c r="J43" s="2"/>
      <c r="K43" s="2"/>
      <c r="L43" s="2"/>
      <c r="M43" s="2"/>
      <c r="N43" s="2"/>
      <c r="O43" s="115"/>
      <c r="P43" s="2"/>
      <c r="Q43" s="2"/>
      <c r="R43" s="2"/>
      <c r="S43" s="114"/>
      <c r="T43" s="2"/>
      <c r="U43" s="2"/>
      <c r="V43" s="115"/>
    </row>
    <row r="44" spans="1:22" ht="12.75" customHeight="1">
      <c r="A44" s="2"/>
      <c r="B44" s="2"/>
      <c r="C44" s="2"/>
      <c r="D44" s="2"/>
      <c r="E44" s="114"/>
      <c r="F44" s="2"/>
      <c r="G44" s="2"/>
      <c r="H44" s="2"/>
      <c r="I44" s="2"/>
      <c r="J44" s="2"/>
      <c r="K44" s="2"/>
      <c r="L44" s="2"/>
      <c r="M44" s="2"/>
      <c r="N44" s="2"/>
      <c r="O44" s="115"/>
      <c r="P44" s="2"/>
      <c r="Q44" s="2"/>
      <c r="R44" s="2"/>
      <c r="S44" s="114"/>
      <c r="T44" s="2"/>
      <c r="U44" s="2"/>
      <c r="V44" s="115"/>
    </row>
    <row r="45" spans="1:22" ht="12.75" customHeight="1">
      <c r="A45" s="2"/>
      <c r="B45" s="2"/>
      <c r="C45" s="2"/>
      <c r="D45" s="2"/>
      <c r="E45" s="114"/>
      <c r="F45" s="2"/>
      <c r="G45" s="2"/>
      <c r="H45" s="2"/>
      <c r="I45" s="2"/>
      <c r="J45" s="2"/>
      <c r="K45" s="2"/>
      <c r="L45" s="2"/>
      <c r="M45" s="2"/>
      <c r="N45" s="2"/>
      <c r="O45" s="115"/>
      <c r="P45" s="2"/>
      <c r="Q45" s="2"/>
      <c r="R45" s="2"/>
      <c r="S45" s="114"/>
      <c r="T45" s="2"/>
      <c r="U45" s="2"/>
      <c r="V45" s="115"/>
    </row>
    <row r="46" spans="1:29" ht="12.75" customHeight="1">
      <c r="A46" s="5"/>
      <c r="B46" s="5"/>
      <c r="C46" s="5"/>
      <c r="D46" s="5"/>
      <c r="E46" s="116"/>
      <c r="F46" s="5"/>
      <c r="G46" s="5"/>
      <c r="H46" s="5"/>
      <c r="I46" s="5"/>
      <c r="J46" s="5"/>
      <c r="K46" s="5"/>
      <c r="L46" s="5"/>
      <c r="M46" s="5"/>
      <c r="N46" s="5"/>
      <c r="O46" s="117"/>
      <c r="P46" s="5"/>
      <c r="Q46" s="5"/>
      <c r="R46" s="5"/>
      <c r="S46" s="116"/>
      <c r="T46" s="5"/>
      <c r="U46" s="5"/>
      <c r="V46" s="117"/>
      <c r="W46" s="6"/>
      <c r="X46" s="6"/>
      <c r="Y46" s="6"/>
      <c r="Z46" s="6"/>
      <c r="AA46" s="6"/>
      <c r="AB46" s="6"/>
      <c r="AC46" s="6"/>
    </row>
    <row r="47" spans="1:29" ht="12.75" customHeight="1">
      <c r="A47" s="5"/>
      <c r="B47" s="5"/>
      <c r="C47" s="5"/>
      <c r="D47" s="5"/>
      <c r="E47" s="116"/>
      <c r="F47" s="5"/>
      <c r="G47" s="5"/>
      <c r="H47" s="5"/>
      <c r="I47" s="5"/>
      <c r="J47" s="5"/>
      <c r="K47" s="5"/>
      <c r="L47" s="5"/>
      <c r="M47" s="5"/>
      <c r="N47" s="5"/>
      <c r="O47" s="117"/>
      <c r="P47" s="5"/>
      <c r="Q47" s="5"/>
      <c r="R47" s="5"/>
      <c r="S47" s="116"/>
      <c r="T47" s="5"/>
      <c r="U47" s="5"/>
      <c r="V47" s="117"/>
      <c r="W47" s="6"/>
      <c r="X47" s="6"/>
      <c r="Y47" s="6"/>
      <c r="Z47" s="6"/>
      <c r="AA47" s="6"/>
      <c r="AB47" s="6"/>
      <c r="AC47" s="6"/>
    </row>
    <row r="48" spans="1:29" ht="12.75" customHeight="1">
      <c r="A48" s="5"/>
      <c r="B48" s="5"/>
      <c r="C48" s="5"/>
      <c r="D48" s="5"/>
      <c r="E48" s="116"/>
      <c r="F48" s="5"/>
      <c r="G48" s="5"/>
      <c r="H48" s="5"/>
      <c r="I48" s="5"/>
      <c r="J48" s="5"/>
      <c r="K48" s="5"/>
      <c r="L48" s="5"/>
      <c r="M48" s="5"/>
      <c r="N48" s="5"/>
      <c r="O48" s="117"/>
      <c r="P48" s="5"/>
      <c r="Q48" s="5"/>
      <c r="R48" s="5"/>
      <c r="S48" s="116"/>
      <c r="T48" s="5"/>
      <c r="U48" s="5"/>
      <c r="V48" s="117"/>
      <c r="W48" s="6"/>
      <c r="X48" s="6"/>
      <c r="Y48" s="6"/>
      <c r="Z48" s="6"/>
      <c r="AA48" s="6"/>
      <c r="AB48" s="6"/>
      <c r="AC48" s="6"/>
    </row>
    <row r="49" spans="1:22" ht="12.75" customHeight="1">
      <c r="A49" s="2"/>
      <c r="B49" s="2"/>
      <c r="C49" s="2"/>
      <c r="D49" s="2"/>
      <c r="E49" s="114"/>
      <c r="F49" s="2"/>
      <c r="G49" s="2"/>
      <c r="H49" s="2"/>
      <c r="I49" s="2"/>
      <c r="J49" s="2"/>
      <c r="K49" s="2"/>
      <c r="L49" s="2"/>
      <c r="M49" s="2"/>
      <c r="N49" s="2"/>
      <c r="O49" s="115"/>
      <c r="P49" s="2"/>
      <c r="Q49" s="2"/>
      <c r="R49" s="2"/>
      <c r="S49" s="114"/>
      <c r="T49" s="2"/>
      <c r="U49" s="2"/>
      <c r="V49" s="115"/>
    </row>
    <row r="50" spans="1:29" ht="12.75" customHeight="1">
      <c r="A50" s="5"/>
      <c r="B50" s="5"/>
      <c r="C50" s="5"/>
      <c r="D50" s="5"/>
      <c r="E50" s="116"/>
      <c r="F50" s="5"/>
      <c r="G50" s="5"/>
      <c r="H50" s="5"/>
      <c r="I50" s="5"/>
      <c r="J50" s="5"/>
      <c r="K50" s="5"/>
      <c r="L50" s="5"/>
      <c r="M50" s="5"/>
      <c r="N50" s="5"/>
      <c r="O50" s="117"/>
      <c r="P50" s="5"/>
      <c r="Q50" s="5"/>
      <c r="R50" s="5"/>
      <c r="S50" s="116"/>
      <c r="T50" s="5"/>
      <c r="U50" s="5"/>
      <c r="V50" s="117"/>
      <c r="W50" s="6"/>
      <c r="X50" s="6"/>
      <c r="Y50" s="6"/>
      <c r="Z50" s="6"/>
      <c r="AA50" s="6"/>
      <c r="AB50" s="6"/>
      <c r="AC50" s="6"/>
    </row>
    <row r="51" spans="1:29" ht="12.75" customHeight="1">
      <c r="A51" s="5"/>
      <c r="B51" s="5"/>
      <c r="C51" s="5"/>
      <c r="D51" s="5"/>
      <c r="E51" s="116"/>
      <c r="F51" s="5"/>
      <c r="G51" s="5"/>
      <c r="H51" s="5"/>
      <c r="I51" s="5"/>
      <c r="J51" s="5"/>
      <c r="K51" s="5"/>
      <c r="L51" s="5"/>
      <c r="M51" s="5"/>
      <c r="N51" s="5"/>
      <c r="O51" s="117"/>
      <c r="P51" s="5"/>
      <c r="Q51" s="5"/>
      <c r="R51" s="5"/>
      <c r="S51" s="116"/>
      <c r="T51" s="5"/>
      <c r="U51" s="5"/>
      <c r="V51" s="117"/>
      <c r="W51" s="6"/>
      <c r="X51" s="6"/>
      <c r="Y51" s="6"/>
      <c r="Z51" s="6"/>
      <c r="AA51" s="6"/>
      <c r="AB51" s="6"/>
      <c r="AC51" s="6"/>
    </row>
    <row r="52" spans="1:29" ht="12.75" customHeight="1">
      <c r="A52" s="5"/>
      <c r="B52" s="5"/>
      <c r="C52" s="5"/>
      <c r="D52" s="5"/>
      <c r="E52" s="116"/>
      <c r="F52" s="5"/>
      <c r="G52" s="5"/>
      <c r="H52" s="5"/>
      <c r="I52" s="5"/>
      <c r="J52" s="5"/>
      <c r="K52" s="5"/>
      <c r="L52" s="5"/>
      <c r="M52" s="5"/>
      <c r="N52" s="5"/>
      <c r="O52" s="117"/>
      <c r="P52" s="5"/>
      <c r="Q52" s="5"/>
      <c r="R52" s="5"/>
      <c r="S52" s="116"/>
      <c r="T52" s="5"/>
      <c r="U52" s="5"/>
      <c r="V52" s="117"/>
      <c r="W52" s="6"/>
      <c r="X52" s="6"/>
      <c r="Y52" s="6"/>
      <c r="Z52" s="6"/>
      <c r="AA52" s="6"/>
      <c r="AB52" s="6"/>
      <c r="AC52" s="6"/>
    </row>
    <row r="53" spans="1:29" ht="12.75" customHeight="1">
      <c r="A53" s="5"/>
      <c r="B53" s="5"/>
      <c r="C53" s="5"/>
      <c r="D53" s="5"/>
      <c r="E53" s="116"/>
      <c r="F53" s="5"/>
      <c r="G53" s="5"/>
      <c r="H53" s="5"/>
      <c r="I53" s="5"/>
      <c r="J53" s="5"/>
      <c r="K53" s="5"/>
      <c r="L53" s="5"/>
      <c r="M53" s="5"/>
      <c r="N53" s="5"/>
      <c r="O53" s="117"/>
      <c r="P53" s="5"/>
      <c r="Q53" s="5"/>
      <c r="R53" s="5"/>
      <c r="S53" s="116"/>
      <c r="T53" s="5"/>
      <c r="U53" s="5"/>
      <c r="V53" s="117"/>
      <c r="W53" s="5"/>
      <c r="X53" s="5"/>
      <c r="Y53" s="5"/>
      <c r="Z53" s="5"/>
      <c r="AA53" s="5"/>
      <c r="AB53" s="5"/>
      <c r="AC53" s="5"/>
    </row>
    <row r="54" spans="1:29" ht="12.75" customHeight="1">
      <c r="A54" s="5"/>
      <c r="B54" s="5"/>
      <c r="C54" s="5"/>
      <c r="D54" s="5"/>
      <c r="E54" s="116"/>
      <c r="F54" s="5"/>
      <c r="G54" s="5"/>
      <c r="H54" s="5"/>
      <c r="I54" s="5"/>
      <c r="J54" s="5"/>
      <c r="K54" s="5"/>
      <c r="L54" s="5"/>
      <c r="M54" s="5"/>
      <c r="N54" s="5"/>
      <c r="O54" s="117"/>
      <c r="P54" s="5"/>
      <c r="Q54" s="5"/>
      <c r="R54" s="5"/>
      <c r="S54" s="116"/>
      <c r="T54" s="5"/>
      <c r="U54" s="5"/>
      <c r="V54" s="117"/>
      <c r="W54" s="5"/>
      <c r="X54" s="5"/>
      <c r="Y54" s="5"/>
      <c r="Z54" s="5"/>
      <c r="AA54" s="5"/>
      <c r="AB54" s="5"/>
      <c r="AC54" s="5"/>
    </row>
    <row r="55" spans="1:29" ht="12.75" customHeight="1">
      <c r="A55" s="5"/>
      <c r="B55" s="5"/>
      <c r="C55" s="5"/>
      <c r="D55" s="5"/>
      <c r="E55" s="116"/>
      <c r="F55" s="5"/>
      <c r="G55" s="5"/>
      <c r="H55" s="5"/>
      <c r="I55" s="5"/>
      <c r="J55" s="5"/>
      <c r="K55" s="5"/>
      <c r="L55" s="5"/>
      <c r="M55" s="5"/>
      <c r="N55" s="5"/>
      <c r="O55" s="117"/>
      <c r="P55" s="5"/>
      <c r="Q55" s="5"/>
      <c r="R55" s="5"/>
      <c r="S55" s="116"/>
      <c r="T55" s="5"/>
      <c r="U55" s="5"/>
      <c r="V55" s="117"/>
      <c r="W55" s="5"/>
      <c r="X55" s="5"/>
      <c r="Y55" s="5"/>
      <c r="Z55" s="5"/>
      <c r="AA55" s="5"/>
      <c r="AB55" s="5"/>
      <c r="AC55" s="5"/>
    </row>
    <row r="56" spans="1:29" ht="12.75" customHeight="1">
      <c r="A56" s="5"/>
      <c r="B56" s="5"/>
      <c r="C56" s="5"/>
      <c r="D56" s="5"/>
      <c r="E56" s="118"/>
      <c r="F56" s="7"/>
      <c r="G56" s="7"/>
      <c r="H56" s="7"/>
      <c r="I56" s="7"/>
      <c r="J56" s="7"/>
      <c r="K56" s="7"/>
      <c r="L56" s="7"/>
      <c r="M56" s="7"/>
      <c r="N56" s="7"/>
      <c r="O56" s="119"/>
      <c r="P56" s="5"/>
      <c r="Q56" s="5"/>
      <c r="R56" s="5"/>
      <c r="S56" s="118"/>
      <c r="T56" s="7"/>
      <c r="U56" s="7"/>
      <c r="V56" s="119"/>
      <c r="W56" s="5"/>
      <c r="X56" s="5"/>
      <c r="Y56" s="5"/>
      <c r="Z56" s="5"/>
      <c r="AA56" s="5"/>
      <c r="AB56" s="5"/>
      <c r="AC56" s="5"/>
    </row>
    <row r="57" spans="1:29" ht="12.75" customHeight="1">
      <c r="A57" s="5"/>
      <c r="B57" s="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5"/>
      <c r="AB57" s="5"/>
      <c r="AC57" s="5"/>
    </row>
    <row r="58" spans="1:29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5"/>
      <c r="AD59" s="2"/>
    </row>
    <row r="60" spans="1:30" ht="12.75" customHeight="1">
      <c r="A60" s="2" t="str">
        <f>cosymbol</f>
        <v> NTES</v>
      </c>
      <c r="AB60" s="8" t="str">
        <f>coname</f>
        <v>Narai Thermal Engineering Services </v>
      </c>
      <c r="AC60" s="2"/>
      <c r="AD60" s="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108" ht="13.5" customHeight="1"/>
    <row r="109" ht="13.5" customHeight="1"/>
  </sheetData>
  <mergeCells count="39">
    <mergeCell ref="Q25:R25"/>
    <mergeCell ref="S25:V25"/>
    <mergeCell ref="W25:Z25"/>
    <mergeCell ref="Q26:R26"/>
    <mergeCell ref="S26:V26"/>
    <mergeCell ref="W26:Z26"/>
    <mergeCell ref="W16:Z16"/>
    <mergeCell ref="Q17:R17"/>
    <mergeCell ref="S17:V17"/>
    <mergeCell ref="W17:Z17"/>
    <mergeCell ref="C10:D10"/>
    <mergeCell ref="Q10:R10"/>
    <mergeCell ref="A1:AB3"/>
    <mergeCell ref="W7:Z8"/>
    <mergeCell ref="S7:V8"/>
    <mergeCell ref="C7:D8"/>
    <mergeCell ref="S10:V10"/>
    <mergeCell ref="E7:O8"/>
    <mergeCell ref="P7:R8"/>
    <mergeCell ref="AD9:AG9"/>
    <mergeCell ref="AD10:AG10"/>
    <mergeCell ref="H14:J14"/>
    <mergeCell ref="W10:Z10"/>
    <mergeCell ref="Q13:R13"/>
    <mergeCell ref="Q14:R14"/>
    <mergeCell ref="C19:D19"/>
    <mergeCell ref="Q19:R19"/>
    <mergeCell ref="S19:V19"/>
    <mergeCell ref="H15:J15"/>
    <mergeCell ref="Q15:R15"/>
    <mergeCell ref="Q16:R16"/>
    <mergeCell ref="S16:V16"/>
    <mergeCell ref="H24:J24"/>
    <mergeCell ref="Q24:R24"/>
    <mergeCell ref="W19:Z19"/>
    <mergeCell ref="AD19:AG19"/>
    <mergeCell ref="Q22:R22"/>
    <mergeCell ref="H23:J23"/>
    <mergeCell ref="Q23:R2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M229"/>
  <sheetViews>
    <sheetView tabSelected="1" zoomScaleSheetLayoutView="100" workbookViewId="0" topLeftCell="A1">
      <selection activeCell="W10" sqref="W10"/>
    </sheetView>
  </sheetViews>
  <sheetFormatPr defaultColWidth="8.88671875" defaultRowHeight="13.5"/>
  <cols>
    <col min="1" max="12" width="2.77734375" style="1" customWidth="1"/>
    <col min="13" max="13" width="3.3359375" style="1" customWidth="1"/>
    <col min="14" max="19" width="2.77734375" style="1" customWidth="1"/>
    <col min="20" max="20" width="3.3359375" style="1" customWidth="1"/>
    <col min="21" max="29" width="2.77734375" style="1" customWidth="1"/>
    <col min="30" max="38" width="3.3359375" style="1" customWidth="1"/>
    <col min="39" max="39" width="3.77734375" style="1" customWidth="1"/>
    <col min="40" max="41" width="3.3359375" style="1" customWidth="1"/>
    <col min="42" max="44" width="3.77734375" style="1" customWidth="1"/>
    <col min="45" max="51" width="3.3359375" style="1" customWidth="1"/>
    <col min="52" max="78" width="2.77734375" style="1" customWidth="1"/>
    <col min="79" max="16384" width="8.88671875" style="1" customWidth="1"/>
  </cols>
  <sheetData>
    <row r="1" spans="1:42" ht="12.75" customHeight="1">
      <c r="A1" s="371" t="s">
        <v>261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P1" s="152" t="s">
        <v>368</v>
      </c>
    </row>
    <row r="2" spans="1:49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F2" s="64" t="s">
        <v>291</v>
      </c>
      <c r="AM2" s="64" t="s">
        <v>292</v>
      </c>
      <c r="AP2" s="1" t="s">
        <v>366</v>
      </c>
      <c r="AQ2" s="1">
        <f>data_file($AF$3,$AM$3,AT2,AU2)</f>
        <v>5</v>
      </c>
      <c r="AR2" s="1" t="str">
        <f>data_file($AF$3,$AM$3,AV2,AW2)</f>
        <v>bar.g</v>
      </c>
      <c r="AT2" s="67">
        <v>34</v>
      </c>
      <c r="AU2" s="67">
        <v>12</v>
      </c>
      <c r="AV2" s="67">
        <v>20</v>
      </c>
      <c r="AW2" s="67">
        <v>30</v>
      </c>
    </row>
    <row r="3" spans="1:49" ht="12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F3" s="66" t="s">
        <v>596</v>
      </c>
      <c r="AG3" s="65"/>
      <c r="AH3" s="65"/>
      <c r="AI3" s="65"/>
      <c r="AJ3" s="325"/>
      <c r="AK3" s="325"/>
      <c r="AM3" s="67" t="s">
        <v>293</v>
      </c>
      <c r="AP3" s="1" t="s">
        <v>367</v>
      </c>
      <c r="AQ3" s="1">
        <f>data_file($AF$3,$AM$3,AT3,AU3)</f>
        <v>100</v>
      </c>
      <c r="AR3" s="1" t="str">
        <f>data_file($AF$3,$AM$3,AV3,AW3)</f>
        <v>℃</v>
      </c>
      <c r="AT3" s="1">
        <f>AT2+1</f>
        <v>35</v>
      </c>
      <c r="AU3" s="1">
        <f>AU2</f>
        <v>12</v>
      </c>
      <c r="AV3" s="1">
        <f>AV2-1</f>
        <v>19</v>
      </c>
      <c r="AW3" s="1">
        <f>AW2</f>
        <v>30</v>
      </c>
    </row>
    <row r="4" spans="1:52" ht="12.75" customHeight="1">
      <c r="A4" s="31" t="s">
        <v>262</v>
      </c>
      <c r="B4" s="31"/>
      <c r="C4" s="31"/>
      <c r="D4" s="31"/>
      <c r="E4" s="45" t="str">
        <f aca="true" t="shared" si="0" ref="E4:E9">AF4</f>
        <v>P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09" t="s">
        <v>59</v>
      </c>
      <c r="S4" s="31"/>
      <c r="T4" s="31"/>
      <c r="U4" s="35" t="s">
        <v>269</v>
      </c>
      <c r="V4" s="31"/>
      <c r="W4" s="36"/>
      <c r="X4" s="392" t="str">
        <f>AK6</f>
        <v>2020.   1.   10.</v>
      </c>
      <c r="Y4" s="392"/>
      <c r="Z4" s="392"/>
      <c r="AA4" s="392"/>
      <c r="AB4" s="392"/>
      <c r="AF4" s="1" t="str">
        <f aca="true" t="shared" si="1" ref="AF4:AF9">data_file($AF$3,$AM$3,AM4,AN4)</f>
        <v>P</v>
      </c>
      <c r="AM4" s="67">
        <v>3</v>
      </c>
      <c r="AN4" s="67">
        <v>5</v>
      </c>
      <c r="AP4" s="5" t="s">
        <v>369</v>
      </c>
      <c r="AQ4" s="1">
        <f>data_file($AF$3,$AM$3,AT4,AU4)</f>
        <v>3</v>
      </c>
      <c r="AT4" s="1">
        <f>AT3+2</f>
        <v>37</v>
      </c>
      <c r="AU4" s="1">
        <f>AU3</f>
        <v>12</v>
      </c>
      <c r="AY4" s="5"/>
      <c r="AZ4" s="5"/>
    </row>
    <row r="5" spans="1:47" ht="12.75" customHeight="1">
      <c r="A5" s="32" t="s">
        <v>263</v>
      </c>
      <c r="B5" s="32"/>
      <c r="C5" s="32"/>
      <c r="D5" s="32"/>
      <c r="E5" s="46" t="str">
        <f t="shared" si="0"/>
        <v>A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700">
        <f>data_file($AF$3,$AM$3,AD5,AE5)</f>
        <v>4302.0004489866615</v>
      </c>
      <c r="S5" s="700"/>
      <c r="T5" s="32"/>
      <c r="U5" s="37" t="s">
        <v>270</v>
      </c>
      <c r="V5" s="32"/>
      <c r="W5" s="38"/>
      <c r="X5" s="699">
        <f>AK7</f>
        <v>0</v>
      </c>
      <c r="Y5" s="699"/>
      <c r="Z5" s="699"/>
      <c r="AA5" s="699"/>
      <c r="AB5" s="699"/>
      <c r="AC5" s="3"/>
      <c r="AD5" s="204">
        <v>65</v>
      </c>
      <c r="AE5" s="204">
        <v>5</v>
      </c>
      <c r="AF5" s="1" t="str">
        <f t="shared" si="1"/>
        <v>A</v>
      </c>
      <c r="AM5" s="1">
        <f aca="true" t="shared" si="2" ref="AM5:AM10">AM4+1</f>
        <v>4</v>
      </c>
      <c r="AN5" s="1">
        <f>AN4</f>
        <v>5</v>
      </c>
      <c r="AP5" s="1" t="s">
        <v>465</v>
      </c>
      <c r="AQ5" s="6">
        <f>data_file($AF$3,$AM$3,AT5,AU5)</f>
        <v>1</v>
      </c>
      <c r="AT5" s="1">
        <f>AT3+1</f>
        <v>36</v>
      </c>
      <c r="AU5" s="1">
        <f>AU3</f>
        <v>12</v>
      </c>
    </row>
    <row r="6" spans="1:44" ht="12.75" customHeight="1">
      <c r="A6" s="32" t="s">
        <v>264</v>
      </c>
      <c r="B6" s="32"/>
      <c r="C6" s="32"/>
      <c r="D6" s="32"/>
      <c r="E6" s="46" t="str">
        <f t="shared" si="0"/>
        <v>B</v>
      </c>
      <c r="F6" s="32"/>
      <c r="G6" s="32"/>
      <c r="H6" s="32"/>
      <c r="I6" s="32"/>
      <c r="J6" s="32"/>
      <c r="K6" s="32"/>
      <c r="L6" s="32"/>
      <c r="M6" s="32"/>
      <c r="N6" s="50" t="s">
        <v>277</v>
      </c>
      <c r="O6" s="32"/>
      <c r="P6" s="32"/>
      <c r="Q6" s="32"/>
      <c r="R6" s="51" t="s">
        <v>278</v>
      </c>
      <c r="S6" s="32"/>
      <c r="T6" s="32"/>
      <c r="U6" s="37" t="s">
        <v>267</v>
      </c>
      <c r="V6" s="32"/>
      <c r="W6" s="38"/>
      <c r="X6" s="327" t="s">
        <v>294</v>
      </c>
      <c r="Y6" s="327"/>
      <c r="Z6" s="327"/>
      <c r="AA6" s="327"/>
      <c r="AB6" s="327"/>
      <c r="AC6" s="3"/>
      <c r="AE6" s="4"/>
      <c r="AF6" s="1" t="str">
        <f t="shared" si="1"/>
        <v>B</v>
      </c>
      <c r="AK6" s="1" t="str">
        <f>data_file($AF$3,$AM$3,AM6,AR6)</f>
        <v>2020.   1.   10.</v>
      </c>
      <c r="AM6" s="1">
        <f t="shared" si="2"/>
        <v>5</v>
      </c>
      <c r="AN6" s="1">
        <f>AN4</f>
        <v>5</v>
      </c>
      <c r="AR6" s="67">
        <v>18</v>
      </c>
    </row>
    <row r="7" spans="1:44" ht="12.75" customHeight="1">
      <c r="A7" s="33" t="s">
        <v>265</v>
      </c>
      <c r="B7" s="33"/>
      <c r="C7" s="33"/>
      <c r="D7" s="33"/>
      <c r="E7" s="47" t="str">
        <f t="shared" si="0"/>
        <v>ASME</v>
      </c>
      <c r="F7" s="33"/>
      <c r="G7" s="33"/>
      <c r="H7" s="33"/>
      <c r="I7" s="33"/>
      <c r="J7" s="33"/>
      <c r="K7" s="33"/>
      <c r="L7" s="33"/>
      <c r="M7" s="33"/>
      <c r="N7" s="47" t="str">
        <f>AI7</f>
        <v>No</v>
      </c>
      <c r="O7" s="33"/>
      <c r="P7" s="48"/>
      <c r="Q7" s="33"/>
      <c r="R7" s="701">
        <f>Q119</f>
        <v>4404.419796602995</v>
      </c>
      <c r="S7" s="701"/>
      <c r="T7" s="702"/>
      <c r="U7" s="39" t="s">
        <v>268</v>
      </c>
      <c r="V7" s="33"/>
      <c r="W7" s="40"/>
      <c r="X7" s="41">
        <v>0</v>
      </c>
      <c r="Y7" s="43"/>
      <c r="Z7" s="43"/>
      <c r="AA7" s="43"/>
      <c r="AB7" s="44"/>
      <c r="AC7" s="6"/>
      <c r="AF7" s="1" t="str">
        <f t="shared" si="1"/>
        <v>ASME</v>
      </c>
      <c r="AI7" s="1" t="str">
        <f>data_file($AF$3,$AM$3,AM7,AP7)</f>
        <v>No</v>
      </c>
      <c r="AK7" s="1">
        <f>data_file($AF$3,$AM$3,AM7,AR7)</f>
        <v>0</v>
      </c>
      <c r="AM7" s="1">
        <f t="shared" si="2"/>
        <v>6</v>
      </c>
      <c r="AN7" s="1">
        <f>AN4</f>
        <v>5</v>
      </c>
      <c r="AP7" s="67">
        <v>14</v>
      </c>
      <c r="AR7" s="1">
        <f>AR6</f>
        <v>18</v>
      </c>
    </row>
    <row r="8" spans="1:42" ht="12.75" customHeight="1">
      <c r="A8" s="31" t="s">
        <v>266</v>
      </c>
      <c r="B8" s="31"/>
      <c r="C8" s="31"/>
      <c r="D8" s="31"/>
      <c r="E8" s="45" t="str">
        <f t="shared" si="0"/>
        <v>H/E Name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273</v>
      </c>
      <c r="V8" s="31"/>
      <c r="W8" s="31"/>
      <c r="X8" s="392" t="str">
        <f>AI8</f>
        <v>Later</v>
      </c>
      <c r="Y8" s="392"/>
      <c r="Z8" s="392"/>
      <c r="AA8" s="392"/>
      <c r="AB8" s="392"/>
      <c r="AC8" s="6"/>
      <c r="AE8" s="196" t="s">
        <v>298</v>
      </c>
      <c r="AF8" s="1" t="str">
        <f t="shared" si="1"/>
        <v>H/E Name</v>
      </c>
      <c r="AI8" s="1" t="str">
        <f>data_file($AF$3,$AM$3,AM8,AP8)</f>
        <v>Later</v>
      </c>
      <c r="AM8" s="1">
        <f t="shared" si="2"/>
        <v>7</v>
      </c>
      <c r="AN8" s="1">
        <f>AN4</f>
        <v>5</v>
      </c>
      <c r="AP8" s="67">
        <v>18</v>
      </c>
    </row>
    <row r="9" spans="1:44" ht="12.75" customHeight="1">
      <c r="A9" s="32" t="s">
        <v>271</v>
      </c>
      <c r="B9" s="32"/>
      <c r="C9" s="32"/>
      <c r="D9" s="32"/>
      <c r="E9" s="46" t="str">
        <f t="shared" si="0"/>
        <v>Shell 600 ID x 5800 Length,Eff.</v>
      </c>
      <c r="F9" s="32"/>
      <c r="G9" s="32"/>
      <c r="H9" s="32"/>
      <c r="I9" s="32"/>
      <c r="J9" s="32"/>
      <c r="K9" s="32"/>
      <c r="L9" s="32" t="s">
        <v>272</v>
      </c>
      <c r="M9" s="32"/>
      <c r="N9" s="46" t="str">
        <f>AI9</f>
        <v>B E M</v>
      </c>
      <c r="O9" s="32"/>
      <c r="P9" s="32"/>
      <c r="Q9" s="32"/>
      <c r="R9" s="32"/>
      <c r="S9" s="32"/>
      <c r="T9" s="32"/>
      <c r="U9" s="32" t="s">
        <v>274</v>
      </c>
      <c r="V9" s="32"/>
      <c r="W9" s="32"/>
      <c r="X9" s="32"/>
      <c r="Y9" s="32"/>
      <c r="Z9" s="34">
        <f>AK9</f>
        <v>1</v>
      </c>
      <c r="AA9" s="32" t="s">
        <v>276</v>
      </c>
      <c r="AB9" s="32"/>
      <c r="AC9" s="6"/>
      <c r="AE9" s="67" t="s">
        <v>299</v>
      </c>
      <c r="AF9" s="1" t="str">
        <f t="shared" si="1"/>
        <v>Shell 600 ID x 5800 Length,Eff.</v>
      </c>
      <c r="AI9" s="1" t="str">
        <f>data_file($AF$3,$AM$3,AM9,AP9)</f>
        <v>B E M</v>
      </c>
      <c r="AK9" s="1">
        <f>data_file($AF$3,$AM$3,AM9,AR9)</f>
        <v>1</v>
      </c>
      <c r="AM9" s="1">
        <f t="shared" si="2"/>
        <v>8</v>
      </c>
      <c r="AN9" s="1">
        <f>AN8-1</f>
        <v>4</v>
      </c>
      <c r="AP9" s="67">
        <v>10</v>
      </c>
      <c r="AR9" s="67">
        <v>20</v>
      </c>
    </row>
    <row r="10" spans="1:44" ht="12.75" customHeight="1">
      <c r="A10" s="33" t="s">
        <v>295</v>
      </c>
      <c r="B10" s="33"/>
      <c r="C10" s="33"/>
      <c r="D10" s="33"/>
      <c r="E10" s="681">
        <f>AI10</f>
        <v>129.82085003838097</v>
      </c>
      <c r="F10" s="681"/>
      <c r="G10" s="33" t="s">
        <v>296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 t="s">
        <v>275</v>
      </c>
      <c r="V10" s="33"/>
      <c r="W10" s="33"/>
      <c r="X10" s="33"/>
      <c r="Y10" s="33"/>
      <c r="Z10" s="49">
        <f>AK10</f>
        <v>1</v>
      </c>
      <c r="AA10" s="33" t="str">
        <f>AA9</f>
        <v>set(s)</v>
      </c>
      <c r="AB10" s="33"/>
      <c r="AE10" s="197" t="s">
        <v>300</v>
      </c>
      <c r="AI10" s="1">
        <f>data_file($AF$3,$AM$3,AM10,AP10)</f>
        <v>129.82085003838097</v>
      </c>
      <c r="AK10" s="1">
        <f>data_file($AF$3,$AM$3,AM10,AR10)</f>
        <v>1</v>
      </c>
      <c r="AM10" s="1">
        <f t="shared" si="2"/>
        <v>9</v>
      </c>
      <c r="AP10" s="67">
        <v>14</v>
      </c>
      <c r="AR10" s="67">
        <v>11</v>
      </c>
    </row>
    <row r="11" spans="1:41" ht="12.75" customHeight="1">
      <c r="A11" s="260">
        <v>1</v>
      </c>
      <c r="B11" s="501" t="s">
        <v>308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"/>
      <c r="AE11" s="153" t="str">
        <f>data_file($AF$3,$AE$9,AJ11,AK11)</f>
        <v>B</v>
      </c>
      <c r="AF11" s="153" t="str">
        <f>data_file($AF$3,$AE$9,AJ11,AL11)</f>
        <v>3</v>
      </c>
      <c r="AG11" s="153" t="str">
        <f>data_file($AF$3,$AE$9,AJ11,AM11)</f>
        <v>E</v>
      </c>
      <c r="AH11" s="153" t="str">
        <f>data_file($AF$3,$AE$9,AJ11,AN11)</f>
        <v>3</v>
      </c>
      <c r="AI11" s="153" t="str">
        <f>data_file($AF$3,$AE$9,AJ11,AO11)</f>
        <v>M</v>
      </c>
      <c r="AJ11" s="67">
        <v>12</v>
      </c>
      <c r="AK11" s="67">
        <v>3</v>
      </c>
      <c r="AL11" s="67">
        <v>6</v>
      </c>
      <c r="AM11" s="67">
        <v>10</v>
      </c>
      <c r="AN11" s="67">
        <v>14</v>
      </c>
      <c r="AO11" s="67">
        <v>17</v>
      </c>
    </row>
    <row r="12" spans="1:34" ht="12.75" customHeight="1">
      <c r="A12" s="372" t="s">
        <v>238</v>
      </c>
      <c r="B12" s="372"/>
      <c r="C12" s="372"/>
      <c r="D12" s="372"/>
      <c r="E12" s="372"/>
      <c r="F12" s="374" t="s">
        <v>279</v>
      </c>
      <c r="G12" s="372"/>
      <c r="H12" s="372"/>
      <c r="I12" s="372"/>
      <c r="J12" s="375"/>
      <c r="K12" s="318" t="s">
        <v>280</v>
      </c>
      <c r="L12" s="318"/>
      <c r="M12" s="318"/>
      <c r="N12" s="318"/>
      <c r="O12" s="318"/>
      <c r="P12" s="374" t="s">
        <v>281</v>
      </c>
      <c r="Q12" s="375"/>
      <c r="R12" s="649" t="s">
        <v>282</v>
      </c>
      <c r="S12" s="650"/>
      <c r="T12" s="650"/>
      <c r="U12" s="650"/>
      <c r="V12" s="651"/>
      <c r="W12" s="394" t="s">
        <v>283</v>
      </c>
      <c r="X12" s="394"/>
      <c r="Y12" s="394"/>
      <c r="Z12" s="462" t="s">
        <v>284</v>
      </c>
      <c r="AA12" s="394"/>
      <c r="AB12" s="394"/>
      <c r="AH12" s="198" t="s">
        <v>466</v>
      </c>
    </row>
    <row r="13" spans="1:58" ht="12.75" customHeight="1">
      <c r="A13" s="373"/>
      <c r="B13" s="373"/>
      <c r="C13" s="373"/>
      <c r="D13" s="373"/>
      <c r="E13" s="373"/>
      <c r="F13" s="376"/>
      <c r="G13" s="373"/>
      <c r="H13" s="373"/>
      <c r="I13" s="373"/>
      <c r="J13" s="377"/>
      <c r="K13" s="693" t="s">
        <v>285</v>
      </c>
      <c r="L13" s="470"/>
      <c r="M13" s="56" t="s">
        <v>286</v>
      </c>
      <c r="N13" s="470" t="s">
        <v>287</v>
      </c>
      <c r="O13" s="588"/>
      <c r="P13" s="376"/>
      <c r="Q13" s="377"/>
      <c r="R13" s="471" t="s">
        <v>278</v>
      </c>
      <c r="S13" s="652"/>
      <c r="T13" s="42" t="s">
        <v>288</v>
      </c>
      <c r="U13" s="652" t="s">
        <v>289</v>
      </c>
      <c r="V13" s="653"/>
      <c r="W13" s="397"/>
      <c r="X13" s="397"/>
      <c r="Y13" s="397"/>
      <c r="Z13" s="463"/>
      <c r="AA13" s="397"/>
      <c r="AB13" s="397"/>
      <c r="AC13" s="6"/>
      <c r="AD13" s="62" t="s">
        <v>290</v>
      </c>
      <c r="AF13" s="186" t="s">
        <v>476</v>
      </c>
      <c r="AH13" s="1">
        <f>IF(data_file($AF$3,$AM$3,AI13,AJ13)="???","",data_file($AF$3,$AM$3,AI13,AJ13))</f>
      </c>
      <c r="AI13" s="67">
        <v>52</v>
      </c>
      <c r="AJ13" s="67">
        <v>23</v>
      </c>
      <c r="AO13" s="63" t="s">
        <v>467</v>
      </c>
      <c r="AP13" s="77">
        <f>data_file($AF$3,$AM$3,BE13,BF13)</f>
        <v>5800</v>
      </c>
      <c r="BD13" s="63" t="str">
        <f>AO13</f>
        <v>Tube Le &gt;</v>
      </c>
      <c r="BE13" s="2">
        <f>BC14</f>
        <v>41</v>
      </c>
      <c r="BF13" s="76">
        <v>15</v>
      </c>
    </row>
    <row r="14" spans="1:62" ht="12.75" customHeight="1">
      <c r="A14" s="69" t="s">
        <v>297</v>
      </c>
      <c r="B14" s="69"/>
      <c r="C14" s="69"/>
      <c r="D14" s="69"/>
      <c r="E14" s="69"/>
      <c r="F14" s="70" t="str">
        <f>" "&amp;$AH$13&amp;AK14</f>
        <v> A 179</v>
      </c>
      <c r="G14" s="69"/>
      <c r="H14" s="69"/>
      <c r="I14" s="139"/>
      <c r="J14" s="71"/>
      <c r="K14" s="691">
        <f>AM14</f>
        <v>19.05</v>
      </c>
      <c r="L14" s="692"/>
      <c r="M14" s="72">
        <f>AO14</f>
        <v>2.11</v>
      </c>
      <c r="N14" s="617">
        <f>AP14</f>
        <v>5880</v>
      </c>
      <c r="O14" s="617"/>
      <c r="P14" s="666">
        <f>AQ14</f>
        <v>374</v>
      </c>
      <c r="Q14" s="667"/>
      <c r="R14" s="668">
        <f>PI()/4*(K14^2-(K14-2*M14)^2)*N14/10^9*P14*AD14*1000</f>
        <v>1938.493365664813</v>
      </c>
      <c r="S14" s="589"/>
      <c r="T14" s="73">
        <v>1</v>
      </c>
      <c r="U14" s="589">
        <f>R14*T14</f>
        <v>1938.493365664813</v>
      </c>
      <c r="V14" s="590"/>
      <c r="W14" s="682">
        <f>cost_tube(AK14,$AF$14)</f>
        <v>4000</v>
      </c>
      <c r="X14" s="682"/>
      <c r="Y14" s="682"/>
      <c r="Z14" s="580">
        <f>U14*W14</f>
        <v>7753973.462659252</v>
      </c>
      <c r="AA14" s="617"/>
      <c r="AB14" s="617"/>
      <c r="AC14" s="69"/>
      <c r="AD14" s="69">
        <f>mindex(AK14,-1)</f>
        <v>7.85</v>
      </c>
      <c r="AE14" s="69"/>
      <c r="AF14" s="2" t="s">
        <v>448</v>
      </c>
      <c r="AG14" s="69"/>
      <c r="AH14" s="81" t="str">
        <f>data_file($AF$3,$AM$3,AS14,AT14)</f>
        <v>ASTM</v>
      </c>
      <c r="AI14" s="69" t="str">
        <f>data_file($AF$3,$AM$3,AU14,AV14)</f>
        <v>tube</v>
      </c>
      <c r="AJ14" s="69"/>
      <c r="AK14" s="69" t="str">
        <f>data_file($AF$3,$AM$3,AW14,AX14)</f>
        <v>A 179</v>
      </c>
      <c r="AL14" s="69"/>
      <c r="AM14" s="69">
        <f>data_file($AF$3,$AM$3,AY14,AZ14)</f>
        <v>19.05</v>
      </c>
      <c r="AN14" s="140" t="str">
        <f>data_file($AF$3,$AM$3,BA14,BB14)</f>
        <v>Avg.</v>
      </c>
      <c r="AO14" s="69">
        <f>data_file($AF$3,$AM$3,BC14,BD14)</f>
        <v>2.11</v>
      </c>
      <c r="AP14" s="165">
        <f>data_file($AF$3,$AE$9,BE14,BF14)*IF(AI11&lt;&gt;"U",1,2)</f>
        <v>5880</v>
      </c>
      <c r="AQ14" s="141">
        <f>data_file($AF$3,$AM$3,BG14,BH14)</f>
        <v>374</v>
      </c>
      <c r="AR14" s="142" t="str">
        <f>data_file($AF$3,$AM$3,BI14,BJ14)</f>
        <v>STR's</v>
      </c>
      <c r="AS14" s="79">
        <v>45</v>
      </c>
      <c r="AT14" s="79">
        <v>25</v>
      </c>
      <c r="AU14" s="69">
        <f>AS14+1</f>
        <v>46</v>
      </c>
      <c r="AV14" s="69">
        <f>AT14</f>
        <v>25</v>
      </c>
      <c r="AW14" s="69">
        <f>AU14</f>
        <v>46</v>
      </c>
      <c r="AX14" s="69">
        <f>AV14+2</f>
        <v>27</v>
      </c>
      <c r="AY14" s="79">
        <v>41</v>
      </c>
      <c r="AZ14" s="79">
        <v>7</v>
      </c>
      <c r="BA14" s="69">
        <f>AY14</f>
        <v>41</v>
      </c>
      <c r="BB14" s="79">
        <v>10</v>
      </c>
      <c r="BC14" s="69">
        <f>BA14</f>
        <v>41</v>
      </c>
      <c r="BD14" s="69">
        <f>BB14+1</f>
        <v>11</v>
      </c>
      <c r="BE14" s="76">
        <v>47</v>
      </c>
      <c r="BF14" s="76">
        <v>8</v>
      </c>
      <c r="BG14" s="69">
        <f>BE13</f>
        <v>41</v>
      </c>
      <c r="BH14" s="79">
        <v>4</v>
      </c>
      <c r="BI14" s="69">
        <f>BG14</f>
        <v>41</v>
      </c>
      <c r="BJ14" s="69">
        <f>BH14+1</f>
        <v>5</v>
      </c>
    </row>
    <row r="15" spans="1:62" ht="12.75" customHeight="1">
      <c r="A15" s="54" t="s">
        <v>356</v>
      </c>
      <c r="B15" s="54"/>
      <c r="C15" s="54"/>
      <c r="D15" s="54"/>
      <c r="E15" s="54"/>
      <c r="F15" s="121" t="str">
        <f>" "&amp;$AH$13&amp;AK15</f>
        <v> A 266 2</v>
      </c>
      <c r="G15" s="54"/>
      <c r="H15" s="54"/>
      <c r="I15" s="122"/>
      <c r="J15" s="159"/>
      <c r="K15" s="428">
        <f>AM15</f>
        <v>733.425</v>
      </c>
      <c r="L15" s="407"/>
      <c r="M15" s="124">
        <f>AO15</f>
        <v>40</v>
      </c>
      <c r="N15" s="561"/>
      <c r="O15" s="561"/>
      <c r="P15" s="673">
        <f>1+IF(OR(AH11="1",AH11="2",AH11="3",AH11="4"),1,0)</f>
        <v>2</v>
      </c>
      <c r="Q15" s="674"/>
      <c r="R15" s="428">
        <f>PI()/4*(K15^2-0)*M15/10^9*P15*AD15*1000</f>
        <v>265.31447458519295</v>
      </c>
      <c r="S15" s="429"/>
      <c r="T15" s="125">
        <v>1</v>
      </c>
      <c r="U15" s="430">
        <f>R15*T15</f>
        <v>265.31447458519295</v>
      </c>
      <c r="V15" s="675"/>
      <c r="W15" s="552">
        <f>IF(AI15="plate",cost_plate(AK15,M15,$AF$14),cost_forging(AK15,R15/P15,$AF$14))</f>
        <v>1500</v>
      </c>
      <c r="X15" s="552"/>
      <c r="Y15" s="552"/>
      <c r="Z15" s="430">
        <f>U15*W15</f>
        <v>397971.7118777894</v>
      </c>
      <c r="AA15" s="407"/>
      <c r="AB15" s="407"/>
      <c r="AC15" s="2"/>
      <c r="AD15" s="2">
        <f>mindex(AK15,-1)</f>
        <v>7.85</v>
      </c>
      <c r="AE15" s="2"/>
      <c r="AF15" s="2" t="str">
        <f>data_file($AF$3,$AE$9,BE15,BF15)</f>
        <v>Welded</v>
      </c>
      <c r="AG15" s="2"/>
      <c r="AH15" s="158" t="str">
        <f>data_file($AF$3,$AE$9,AS15,AT15)</f>
        <v>ASTM</v>
      </c>
      <c r="AI15" s="2" t="str">
        <f>data_file($AF$3,$AE$9,AU15,AV15)</f>
        <v>forging</v>
      </c>
      <c r="AJ15" s="2"/>
      <c r="AK15" s="2" t="str">
        <f>data_file($AF$3,$AE$9,AW15,AX15)</f>
        <v>A 266 2</v>
      </c>
      <c r="AL15" s="2"/>
      <c r="AM15" s="2">
        <f>data_file($AF$3,$AE$9,AY15,AZ15)</f>
        <v>733.425</v>
      </c>
      <c r="AN15" s="2"/>
      <c r="AO15" s="2">
        <f>data_file($AF$3,$AE$9,BC15,BD15)</f>
        <v>40</v>
      </c>
      <c r="AP15" s="2"/>
      <c r="AQ15" s="232" t="str">
        <f>data_file($AF$3,$AM$3,BG15,BH15)</f>
        <v>Plain</v>
      </c>
      <c r="AR15" s="158"/>
      <c r="AS15" s="76">
        <v>59</v>
      </c>
      <c r="AT15" s="76">
        <v>5</v>
      </c>
      <c r="AU15" s="2">
        <f>AS15</f>
        <v>59</v>
      </c>
      <c r="AV15" s="2">
        <f>AT15+1</f>
        <v>6</v>
      </c>
      <c r="AW15" s="2">
        <f>AU15</f>
        <v>59</v>
      </c>
      <c r="AX15" s="2">
        <f>AV15+2</f>
        <v>8</v>
      </c>
      <c r="AY15" s="2">
        <f>AS15</f>
        <v>59</v>
      </c>
      <c r="AZ15" s="76">
        <v>21</v>
      </c>
      <c r="BA15" s="2"/>
      <c r="BB15" s="2"/>
      <c r="BC15" s="2">
        <f>AS15</f>
        <v>59</v>
      </c>
      <c r="BD15" s="76">
        <v>18</v>
      </c>
      <c r="BE15" s="2">
        <f>BC15</f>
        <v>59</v>
      </c>
      <c r="BF15" s="76">
        <v>10</v>
      </c>
      <c r="BG15" s="2">
        <f>BG14+1</f>
        <v>42</v>
      </c>
      <c r="BH15" s="2">
        <f>BH14</f>
        <v>4</v>
      </c>
      <c r="BI15" s="2"/>
      <c r="BJ15" s="2"/>
    </row>
    <row r="16" spans="1:59" ht="12.75" customHeight="1">
      <c r="A16" s="32"/>
      <c r="B16" s="32" t="s">
        <v>392</v>
      </c>
      <c r="C16" s="32"/>
      <c r="D16" s="32"/>
      <c r="E16" s="32"/>
      <c r="F16" s="58"/>
      <c r="G16" s="32"/>
      <c r="H16" s="32"/>
      <c r="I16" s="83"/>
      <c r="J16" s="59"/>
      <c r="K16" s="600"/>
      <c r="L16" s="601"/>
      <c r="M16" s="188"/>
      <c r="N16" s="536"/>
      <c r="O16" s="536"/>
      <c r="P16" s="423">
        <f>IF(AF11="1",2,IF(AF11="2",1,IF(AF11="3",1,0)))+IF(AH11="1",2,IF(AH11="2",1,IF(AH11="3",1,0)))</f>
        <v>2</v>
      </c>
      <c r="Q16" s="422"/>
      <c r="R16" s="564"/>
      <c r="S16" s="565"/>
      <c r="T16" s="61">
        <v>1</v>
      </c>
      <c r="U16" s="542">
        <f>R16*T16</f>
        <v>0</v>
      </c>
      <c r="V16" s="543"/>
      <c r="W16" s="517">
        <f>IF(P16&lt;=0,0,IF(P21&gt;0,cost_gasket(AQ21,AR21),cost_gasket(AQ66,AR66)))</f>
        <v>60000</v>
      </c>
      <c r="X16" s="517"/>
      <c r="Y16" s="517"/>
      <c r="Z16" s="412">
        <f>P16*W16</f>
        <v>120000</v>
      </c>
      <c r="AA16" s="379"/>
      <c r="AB16" s="379"/>
      <c r="AC16" s="2"/>
      <c r="AD16" s="2"/>
      <c r="AE16" s="185" t="s">
        <v>5</v>
      </c>
      <c r="AF16" s="145" t="s">
        <v>3</v>
      </c>
      <c r="AG16" s="145" t="s">
        <v>281</v>
      </c>
      <c r="AH16" s="145" t="s">
        <v>4</v>
      </c>
      <c r="AI16" s="145" t="s">
        <v>287</v>
      </c>
      <c r="AJ16" s="145" t="s">
        <v>6</v>
      </c>
      <c r="AK16" s="2"/>
      <c r="AL16" s="2"/>
      <c r="AM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2.75" customHeight="1">
      <c r="A17" s="32"/>
      <c r="B17" s="32" t="s">
        <v>393</v>
      </c>
      <c r="C17" s="32"/>
      <c r="D17" s="32"/>
      <c r="E17" s="32"/>
      <c r="F17" s="58"/>
      <c r="G17" s="32"/>
      <c r="H17" s="32"/>
      <c r="I17" s="83"/>
      <c r="J17" s="59"/>
      <c r="K17" s="572">
        <f>IF(P17&lt;=0,"***",AH17)</f>
        <v>19.049999999999997</v>
      </c>
      <c r="L17" s="573"/>
      <c r="M17" s="188"/>
      <c r="N17" s="558">
        <f>IF(P17&lt;=0,"***",AI17)</f>
        <v>113.1</v>
      </c>
      <c r="O17" s="559"/>
      <c r="P17" s="423">
        <f>P15*AG17</f>
        <v>56</v>
      </c>
      <c r="Q17" s="422"/>
      <c r="R17" s="539">
        <f>IF(P17&lt;=0,0,PI()/4*K17^2*N17/10^9*P17*AD17*1000)</f>
        <v>14.170987993192595</v>
      </c>
      <c r="S17" s="554"/>
      <c r="T17" s="61">
        <v>1</v>
      </c>
      <c r="U17" s="412">
        <f>R17*T17</f>
        <v>14.170987993192595</v>
      </c>
      <c r="V17" s="540"/>
      <c r="W17" s="378">
        <f>IF(P17&lt;=0,0,cost_plate(AK17,AH17,"")*AN17)</f>
        <v>5000</v>
      </c>
      <c r="X17" s="379"/>
      <c r="Y17" s="380"/>
      <c r="Z17" s="412">
        <f>U17*W17</f>
        <v>70854.93996596297</v>
      </c>
      <c r="AA17" s="379"/>
      <c r="AB17" s="379"/>
      <c r="AC17" s="2"/>
      <c r="AD17" s="2">
        <f>mindex(AK17,-1)</f>
        <v>7.85</v>
      </c>
      <c r="AE17" s="2"/>
      <c r="AF17" s="183" t="str">
        <f>IF(P21&gt;0,STD_flange(AN26,AO26,AP26,AQ21,0),STD_flange(AN71,AO71,AP71,AQ66,0))</f>
        <v>3/4"</v>
      </c>
      <c r="AG17" s="2">
        <f>IF(P21&gt;0,STD_flange(AN26,AO26,AP26,AQ21,2),STD_flange(AN71,AO71,AP71,AQ66,2))</f>
        <v>28</v>
      </c>
      <c r="AH17" s="2">
        <f>IF(P21&gt;0,STD_flange(AN26,AO26,AP26,AQ21,1),STD_flange(AN71,AO71,AP71,AQ66,1))</f>
        <v>19.049999999999997</v>
      </c>
      <c r="AI17" s="2">
        <f>M15+IF(AF11="1",M21+M66,IF(AF11="2",M21,IF(AF11="3",M66)))+(AJ17+5)*2</f>
        <v>113.1</v>
      </c>
      <c r="AJ17" s="1">
        <f>AH17</f>
        <v>19.049999999999997</v>
      </c>
      <c r="AK17" s="2" t="str">
        <f>AK15</f>
        <v>A 266 2</v>
      </c>
      <c r="AM17" s="199" t="s">
        <v>8</v>
      </c>
      <c r="AN17" s="200">
        <v>5</v>
      </c>
      <c r="AO17" s="182" t="s">
        <v>9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2.75" customHeight="1">
      <c r="A18" s="137"/>
      <c r="B18" s="137" t="s">
        <v>387</v>
      </c>
      <c r="C18" s="137"/>
      <c r="D18" s="137"/>
      <c r="E18" s="137"/>
      <c r="F18" s="160"/>
      <c r="G18" s="137"/>
      <c r="H18" s="137"/>
      <c r="I18" s="7"/>
      <c r="J18" s="161"/>
      <c r="K18" s="669"/>
      <c r="L18" s="670"/>
      <c r="M18" s="162"/>
      <c r="N18" s="427"/>
      <c r="O18" s="427"/>
      <c r="P18" s="671"/>
      <c r="Q18" s="672"/>
      <c r="R18" s="663"/>
      <c r="S18" s="664"/>
      <c r="T18" s="163">
        <v>1</v>
      </c>
      <c r="U18" s="659">
        <f>R18*T18</f>
        <v>0</v>
      </c>
      <c r="V18" s="660"/>
      <c r="W18" s="591"/>
      <c r="X18" s="591"/>
      <c r="Y18" s="591"/>
      <c r="Z18" s="592">
        <f>U18*W18</f>
        <v>0</v>
      </c>
      <c r="AA18" s="427"/>
      <c r="AB18" s="42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</row>
    <row r="19" spans="1:62" ht="12.75" customHeight="1">
      <c r="A19" s="502" t="s">
        <v>301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30"/>
      <c r="AD19" s="69"/>
      <c r="AE19" s="69"/>
      <c r="AF19" s="187" t="str">
        <f>AF13</f>
        <v>Normalized</v>
      </c>
      <c r="AG19" s="69"/>
      <c r="AH19" s="69"/>
      <c r="AI19" s="69"/>
      <c r="AJ19" s="69"/>
      <c r="AK19" s="69"/>
      <c r="AL19" s="69"/>
      <c r="AM19" s="69"/>
      <c r="AN19" s="138" t="s">
        <v>304</v>
      </c>
      <c r="AO19" s="69"/>
      <c r="AP19" s="69"/>
      <c r="AQ19" s="69"/>
      <c r="AR19" s="69"/>
      <c r="AS19" s="69"/>
      <c r="AT19" s="69"/>
      <c r="AU19" s="69"/>
      <c r="AV19" s="69"/>
      <c r="AW19" s="69"/>
      <c r="AX19" s="120" t="s">
        <v>305</v>
      </c>
      <c r="AY19" s="79">
        <v>39</v>
      </c>
      <c r="AZ19" s="79">
        <v>18</v>
      </c>
      <c r="BA19" s="79">
        <v>26</v>
      </c>
      <c r="BB19" s="69" t="s">
        <v>306</v>
      </c>
      <c r="BC19" s="69"/>
      <c r="BD19" s="69"/>
      <c r="BE19" s="69"/>
      <c r="BF19" s="69"/>
      <c r="BG19" s="69"/>
      <c r="BH19" s="69"/>
      <c r="BI19" s="69"/>
      <c r="BJ19" s="69"/>
    </row>
    <row r="20" spans="1:59" ht="12.75" customHeight="1">
      <c r="A20" s="69" t="s">
        <v>303</v>
      </c>
      <c r="B20" s="69"/>
      <c r="C20" s="69"/>
      <c r="D20" s="69"/>
      <c r="E20" s="63">
        <f>IF(AI20="pipe",AQ20&amp;", "&amp;AR20,"")</f>
      </c>
      <c r="F20" s="70" t="str">
        <f>" "&amp;$AH$13&amp;AK20</f>
        <v> A 516-70</v>
      </c>
      <c r="G20" s="69"/>
      <c r="H20" s="69"/>
      <c r="I20" s="6"/>
      <c r="J20" s="80" t="s">
        <v>307</v>
      </c>
      <c r="K20" s="691">
        <f>AM20</f>
        <v>600</v>
      </c>
      <c r="L20" s="692"/>
      <c r="M20" s="72">
        <f>AO20</f>
        <v>12</v>
      </c>
      <c r="N20" s="617">
        <f>AP20</f>
        <v>5880</v>
      </c>
      <c r="O20" s="617"/>
      <c r="P20" s="676">
        <v>1</v>
      </c>
      <c r="Q20" s="677"/>
      <c r="R20" s="678">
        <f>PI()/4*((K20+2*M20)^2-K20^2)*N20/10^9*P20*AD20*1000</f>
        <v>1064.9507499250965</v>
      </c>
      <c r="S20" s="679"/>
      <c r="T20" s="73">
        <v>1</v>
      </c>
      <c r="U20" s="593">
        <f aca="true" t="shared" si="3" ref="U20:U29">R20*T20</f>
        <v>1064.9507499250965</v>
      </c>
      <c r="V20" s="665"/>
      <c r="W20" s="682">
        <f>IF(AI20="plate",cost_plate(AK20,M20,$AF$20),cost_pipe(AK20,$AF$20))</f>
        <v>1000</v>
      </c>
      <c r="X20" s="682"/>
      <c r="Y20" s="682"/>
      <c r="Z20" s="593">
        <f aca="true" t="shared" si="4" ref="Z20:Z32">U20*W20</f>
        <v>1064950.7499250965</v>
      </c>
      <c r="AA20" s="478"/>
      <c r="AB20" s="478"/>
      <c r="AC20" s="69"/>
      <c r="AD20" s="69">
        <f>mindex(AK20,-1)</f>
        <v>7.85</v>
      </c>
      <c r="AE20" s="69"/>
      <c r="AF20" s="137" t="s">
        <v>448</v>
      </c>
      <c r="AG20" s="69"/>
      <c r="AH20" s="81" t="str">
        <f>data_file($AF$3,$AE$9,AS20,AT20)</f>
        <v>ASTM</v>
      </c>
      <c r="AI20" s="69" t="str">
        <f>data_file($AF$3,$AE$9,AU20,AV20)</f>
        <v>plate</v>
      </c>
      <c r="AJ20" s="69"/>
      <c r="AK20" s="69" t="str">
        <f>data_file($AF$3,$AE$9,AW20,AX20)</f>
        <v>A 516-70</v>
      </c>
      <c r="AL20" s="69"/>
      <c r="AM20" s="69">
        <f>data_file($AF$3,$AE$9,AY20,AZ20)</f>
        <v>600</v>
      </c>
      <c r="AN20" s="1">
        <f>data_file($AF$3,$AE$9,BA20,BB20)</f>
        <v>0.85</v>
      </c>
      <c r="AO20" s="69">
        <f>data_file($AF$3,$AE$9,BC20,BD20)</f>
        <v>12</v>
      </c>
      <c r="AP20" s="69">
        <f>IF(AI11&lt;&gt;"U",AP14,data_file($AF$3,$AE$9,IF(AND(AG11="K",AI11="U"),AY19,IF(AI11="U",BA19)),AZ19))</f>
        <v>5880</v>
      </c>
      <c r="AQ20" s="69" t="str">
        <f>data_file($AF$3,$AE$9,BE20,BF20)</f>
        <v>12"</v>
      </c>
      <c r="AR20" s="81" t="str">
        <f>data_file($AF$3,$AE$9,BE20,BG20)</f>
        <v>Sch.40</v>
      </c>
      <c r="AS20" s="79">
        <v>51</v>
      </c>
      <c r="AT20" s="79">
        <v>5</v>
      </c>
      <c r="AU20" s="69">
        <f>AS20</f>
        <v>51</v>
      </c>
      <c r="AV20" s="69">
        <f>AT20+1</f>
        <v>6</v>
      </c>
      <c r="AW20" s="69">
        <f>AU20</f>
        <v>51</v>
      </c>
      <c r="AX20" s="69">
        <f>AV20+2</f>
        <v>8</v>
      </c>
      <c r="AY20" s="2">
        <f>AS20</f>
        <v>51</v>
      </c>
      <c r="AZ20" s="76">
        <v>14</v>
      </c>
      <c r="BA20" s="2">
        <f>AY20</f>
        <v>51</v>
      </c>
      <c r="BB20" s="69">
        <f>AZ20+1</f>
        <v>15</v>
      </c>
      <c r="BC20" s="69">
        <f>BA20</f>
        <v>51</v>
      </c>
      <c r="BD20" s="69">
        <f>BB20+3</f>
        <v>18</v>
      </c>
      <c r="BE20" s="69">
        <f>AY20</f>
        <v>51</v>
      </c>
      <c r="BF20" s="79">
        <v>25</v>
      </c>
      <c r="BG20" s="69">
        <f>BF20+2</f>
        <v>27</v>
      </c>
    </row>
    <row r="21" spans="1:65" ht="12.75" customHeight="1">
      <c r="A21" s="31" t="s">
        <v>357</v>
      </c>
      <c r="B21" s="31"/>
      <c r="C21" s="31"/>
      <c r="D21" s="31"/>
      <c r="E21" s="31"/>
      <c r="F21" s="52" t="str">
        <f aca="true" t="shared" si="5" ref="F21:F28">" "&amp;$AH$13&amp;AK21</f>
        <v> ***</v>
      </c>
      <c r="G21" s="31"/>
      <c r="H21" s="31"/>
      <c r="I21" s="82"/>
      <c r="J21" s="53"/>
      <c r="K21" s="452" t="str">
        <f>AM21</f>
        <v>***</v>
      </c>
      <c r="L21" s="696"/>
      <c r="M21" s="57">
        <f aca="true" t="shared" si="6" ref="M21:M27">AO21</f>
        <v>25</v>
      </c>
      <c r="N21" s="697" t="str">
        <f>IF(P21&lt;=0,"***",STD_flange(AN26,AO26,AP26,AQ21,16)*(M21/AF21)*(AD21/7.85))</f>
        <v>***</v>
      </c>
      <c r="O21" s="698"/>
      <c r="P21" s="683">
        <f>IF(OR(AF11="1",AF11="2"),1,0)+IF(OR(AH11="1",AH11="2"),1,0)+IF(OR(AI11="T",AI11="S"),2,0)</f>
        <v>0</v>
      </c>
      <c r="Q21" s="684"/>
      <c r="R21" s="636">
        <f>IF(P21&lt;=0,0,N21*P21)</f>
        <v>0</v>
      </c>
      <c r="S21" s="637"/>
      <c r="T21" s="55">
        <v>1</v>
      </c>
      <c r="U21" s="566">
        <f t="shared" si="3"/>
        <v>0</v>
      </c>
      <c r="V21" s="567"/>
      <c r="W21" s="685">
        <f>IF(P21&lt;=0,0,cost_flange(AK21,AQ21,AR21,$AF$20))</f>
        <v>0</v>
      </c>
      <c r="X21" s="686"/>
      <c r="Y21" s="687"/>
      <c r="Z21" s="430">
        <f>P21*W21</f>
        <v>0</v>
      </c>
      <c r="AA21" s="407"/>
      <c r="AB21" s="407"/>
      <c r="AC21" s="69"/>
      <c r="AD21" s="69">
        <f aca="true" t="shared" si="7" ref="AD21:AD28">mindex(AK21,-1)</f>
        <v>0</v>
      </c>
      <c r="AE21" s="69"/>
      <c r="AF21" s="69" t="str">
        <f>data_file($AF$3,$AE$9,BE21,BF21)</f>
        <v>***</v>
      </c>
      <c r="AG21" s="69" t="str">
        <f>data_file($AF$3,$AE$9,BG21,BH21)</f>
        <v>***</v>
      </c>
      <c r="AH21" s="81" t="str">
        <f>data_file($AF$3,$AE$9,AS21,AT21)</f>
        <v>***</v>
      </c>
      <c r="AI21" s="69" t="str">
        <f>data_file($AF$3,$AE$9,AU21,AV21)</f>
        <v>***</v>
      </c>
      <c r="AJ21" s="69"/>
      <c r="AK21" s="69" t="str">
        <f>data_file($AF$3,$AE$9,AW21,AX21)</f>
        <v>***</v>
      </c>
      <c r="AL21" s="69"/>
      <c r="AM21" s="69" t="str">
        <f>data_file($AF$3,$AE$9,AY21,AZ21)</f>
        <v>***</v>
      </c>
      <c r="AN21" s="69"/>
      <c r="AO21" s="69">
        <f>data_file($AF$3,$AE$9,BC21,BD21)</f>
        <v>25</v>
      </c>
      <c r="AP21" s="69" t="s">
        <v>452</v>
      </c>
      <c r="AQ21" s="69" t="str">
        <f>data_file($AF$3,$AE$9,AQ22,AR22)</f>
        <v>***</v>
      </c>
      <c r="AR21" s="69" t="str">
        <f>AP33</f>
        <v>150 lb</v>
      </c>
      <c r="AS21" s="69">
        <f>AS20+1</f>
        <v>52</v>
      </c>
      <c r="AT21" s="69">
        <f>AT20</f>
        <v>5</v>
      </c>
      <c r="AU21" s="69">
        <f>AS21</f>
        <v>52</v>
      </c>
      <c r="AV21" s="69">
        <f>AT21+1</f>
        <v>6</v>
      </c>
      <c r="AW21" s="69">
        <f>AU21</f>
        <v>52</v>
      </c>
      <c r="AX21" s="69">
        <f>AV21+2</f>
        <v>8</v>
      </c>
      <c r="AY21" s="69">
        <f>AW21</f>
        <v>52</v>
      </c>
      <c r="AZ21" s="69">
        <f>AZ20</f>
        <v>14</v>
      </c>
      <c r="BA21" s="69"/>
      <c r="BB21" s="69"/>
      <c r="BC21" s="69">
        <f>AY21</f>
        <v>52</v>
      </c>
      <c r="BD21" s="69">
        <f>AZ21+4</f>
        <v>18</v>
      </c>
      <c r="BE21" s="79">
        <v>37</v>
      </c>
      <c r="BF21" s="79">
        <v>33</v>
      </c>
      <c r="BG21" s="69">
        <f>BE21+1</f>
        <v>38</v>
      </c>
      <c r="BH21" s="2">
        <f>BF21</f>
        <v>33</v>
      </c>
      <c r="BI21" s="144" t="s">
        <v>363</v>
      </c>
      <c r="BJ21" s="2"/>
      <c r="BK21" s="2"/>
      <c r="BL21" s="2"/>
      <c r="BM21" s="2"/>
    </row>
    <row r="22" spans="1:65" ht="12.75" customHeight="1">
      <c r="A22" s="33" t="s">
        <v>358</v>
      </c>
      <c r="B22" s="33"/>
      <c r="C22" s="33"/>
      <c r="D22" s="33"/>
      <c r="E22" s="33"/>
      <c r="F22" s="133" t="str">
        <f t="shared" si="5"/>
        <v> ***</v>
      </c>
      <c r="G22" s="33"/>
      <c r="H22" s="33"/>
      <c r="I22" s="84"/>
      <c r="J22" s="134"/>
      <c r="K22" s="446" t="str">
        <f>AM22</f>
        <v>***</v>
      </c>
      <c r="L22" s="662"/>
      <c r="M22" s="135" t="str">
        <f t="shared" si="6"/>
        <v>***</v>
      </c>
      <c r="N22" s="655"/>
      <c r="O22" s="655"/>
      <c r="P22" s="557">
        <f>IF(OR(AI11="U",AI11="T",AI11="S",AI11="V"),1*IF(BI22&lt;&gt;"Yes",1,2),0)</f>
        <v>0</v>
      </c>
      <c r="Q22" s="449"/>
      <c r="R22" s="578">
        <f>IF(P22&lt;=0,0,prophead(AF22,K22,0,2)*M22/1000*P22*AD22*1000)</f>
        <v>0</v>
      </c>
      <c r="S22" s="579"/>
      <c r="T22" s="136">
        <v>1</v>
      </c>
      <c r="U22" s="585">
        <f t="shared" si="3"/>
        <v>0</v>
      </c>
      <c r="V22" s="586"/>
      <c r="W22" s="406">
        <f>IF(P22&lt;=0,0,W20)</f>
        <v>0</v>
      </c>
      <c r="X22" s="406"/>
      <c r="Y22" s="406"/>
      <c r="Z22" s="415">
        <f t="shared" si="4"/>
        <v>0</v>
      </c>
      <c r="AA22" s="406"/>
      <c r="AB22" s="406"/>
      <c r="AC22" s="137"/>
      <c r="AD22" s="137">
        <f t="shared" si="7"/>
        <v>0</v>
      </c>
      <c r="AE22" s="137"/>
      <c r="AF22" s="206" t="str">
        <f>data_file($AF$3,$AE$9,BE22,BF22)</f>
        <v>***</v>
      </c>
      <c r="AG22" s="137"/>
      <c r="AH22" s="236" t="str">
        <f>data_file($AF$3,$AE$9,AS22,AT22)</f>
        <v>***</v>
      </c>
      <c r="AI22" s="137" t="str">
        <f>data_file($AF$3,$AE$9,AU22,AV22)</f>
        <v>***</v>
      </c>
      <c r="AJ22" s="137"/>
      <c r="AK22" s="137" t="str">
        <f>data_file($AF$3,$AE$9,AW22,AX22)</f>
        <v>***</v>
      </c>
      <c r="AL22" s="137"/>
      <c r="AM22" s="137" t="str">
        <f>data_file($AF$3,$AE$9,AY22,AZ22)</f>
        <v>***</v>
      </c>
      <c r="AN22" s="137">
        <f>data_file($AF$3,$AE$9,BA22,BB22)</f>
        <v>1</v>
      </c>
      <c r="AO22" s="137" t="str">
        <f>data_file($AF$3,$AE$9,BC22,BD22)</f>
        <v>***</v>
      </c>
      <c r="AP22" s="137"/>
      <c r="AQ22" s="155">
        <v>38</v>
      </c>
      <c r="AR22" s="155">
        <v>24</v>
      </c>
      <c r="AS22" s="137">
        <f>AS21+1</f>
        <v>53</v>
      </c>
      <c r="AT22" s="137">
        <f>AT21</f>
        <v>5</v>
      </c>
      <c r="AU22" s="137">
        <f>AS22</f>
        <v>53</v>
      </c>
      <c r="AV22" s="137">
        <f>AV21</f>
        <v>6</v>
      </c>
      <c r="AW22" s="137">
        <f>AU22</f>
        <v>53</v>
      </c>
      <c r="AX22" s="137">
        <f>AX21</f>
        <v>8</v>
      </c>
      <c r="AY22" s="137">
        <f>AW22</f>
        <v>53</v>
      </c>
      <c r="AZ22" s="137">
        <f>AZ21</f>
        <v>14</v>
      </c>
      <c r="BA22" s="137">
        <f>AY22</f>
        <v>53</v>
      </c>
      <c r="BB22" s="137">
        <f>AZ22+1</f>
        <v>15</v>
      </c>
      <c r="BC22" s="137">
        <f>AY22</f>
        <v>53</v>
      </c>
      <c r="BD22" s="137">
        <f>BD21</f>
        <v>18</v>
      </c>
      <c r="BE22" s="137">
        <f>AS22</f>
        <v>53</v>
      </c>
      <c r="BF22" s="155">
        <v>10</v>
      </c>
      <c r="BG22" s="137"/>
      <c r="BH22" s="2"/>
      <c r="BI22" s="149" t="str">
        <f>data_file($AF$3,$AE$9,BJ22,BK22)</f>
        <v>***</v>
      </c>
      <c r="BJ22" s="155">
        <v>39</v>
      </c>
      <c r="BK22" s="155">
        <v>13</v>
      </c>
      <c r="BL22" s="2"/>
      <c r="BM22" s="2"/>
    </row>
    <row r="23" spans="1:63" ht="12.75" customHeight="1">
      <c r="A23" s="127" t="s">
        <v>370</v>
      </c>
      <c r="B23" s="127"/>
      <c r="C23" s="127"/>
      <c r="D23" s="127"/>
      <c r="E23" s="127"/>
      <c r="F23" s="128" t="str">
        <f t="shared" si="5"/>
        <v> A 283-C</v>
      </c>
      <c r="G23" s="127"/>
      <c r="H23" s="127"/>
      <c r="I23" s="129"/>
      <c r="J23" s="130"/>
      <c r="K23" s="688">
        <f>K65</f>
        <v>600</v>
      </c>
      <c r="L23" s="689"/>
      <c r="M23" s="131">
        <f t="shared" si="6"/>
        <v>10</v>
      </c>
      <c r="N23" s="690"/>
      <c r="O23" s="690"/>
      <c r="P23" s="442">
        <f>AQ23</f>
        <v>13</v>
      </c>
      <c r="Q23" s="439"/>
      <c r="R23" s="641">
        <f>PI()/4*(K23^2*(1-AR23)-0)*M23/10^9*P23*AD23*1000</f>
        <v>232.1297697845939</v>
      </c>
      <c r="S23" s="642"/>
      <c r="T23" s="132">
        <v>1</v>
      </c>
      <c r="U23" s="546">
        <f t="shared" si="3"/>
        <v>232.1297697845939</v>
      </c>
      <c r="V23" s="547"/>
      <c r="W23" s="617">
        <f>cost_plate(AK23,M23,"")</f>
        <v>1000</v>
      </c>
      <c r="X23" s="617"/>
      <c r="Y23" s="617"/>
      <c r="Z23" s="411">
        <f t="shared" si="4"/>
        <v>232129.7697845939</v>
      </c>
      <c r="AA23" s="409"/>
      <c r="AB23" s="409"/>
      <c r="AC23" s="2"/>
      <c r="AD23" s="69">
        <f t="shared" si="7"/>
        <v>7.85</v>
      </c>
      <c r="AE23" s="2"/>
      <c r="AF23" s="2"/>
      <c r="AG23" s="2"/>
      <c r="AH23" s="158" t="str">
        <f>data_file($AF$3,$AM$3,AS23,AT23)</f>
        <v>ASTM</v>
      </c>
      <c r="AI23" s="2" t="s">
        <v>365</v>
      </c>
      <c r="AJ23" s="2"/>
      <c r="AK23" s="2" t="str">
        <f>data_file($AF$3,$AM$3,AW23,AX23)</f>
        <v>A 283-C</v>
      </c>
      <c r="AL23" s="2"/>
      <c r="AM23" s="2"/>
      <c r="AN23" s="2"/>
      <c r="AO23" s="2">
        <f>data_file($AF$3,$AE$9,BC23,BD23)</f>
        <v>10</v>
      </c>
      <c r="AP23" s="2"/>
      <c r="AQ23" s="2">
        <f>data_file($AF$3,$AE$9,BG23,BH23)</f>
        <v>13</v>
      </c>
      <c r="AR23" s="2">
        <f>data_file($AF$3,$AE$9,BI23,BJ23)</f>
        <v>0.19550110947788532</v>
      </c>
      <c r="AS23" s="76">
        <v>49</v>
      </c>
      <c r="AT23" s="76">
        <v>25</v>
      </c>
      <c r="AU23" s="2"/>
      <c r="AV23" s="2"/>
      <c r="AW23" s="2">
        <f>AS23</f>
        <v>49</v>
      </c>
      <c r="AX23" s="2">
        <f>AT23+2</f>
        <v>27</v>
      </c>
      <c r="AY23" s="2"/>
      <c r="AZ23" s="2"/>
      <c r="BA23" s="2"/>
      <c r="BB23" s="2"/>
      <c r="BC23" s="76">
        <v>29</v>
      </c>
      <c r="BD23" s="76">
        <v>33</v>
      </c>
      <c r="BE23" s="2"/>
      <c r="BF23" s="2"/>
      <c r="BG23" s="76">
        <v>28</v>
      </c>
      <c r="BH23" s="79">
        <v>30</v>
      </c>
      <c r="BI23" s="79">
        <v>26</v>
      </c>
      <c r="BJ23" s="79">
        <v>25</v>
      </c>
      <c r="BK23" s="69"/>
    </row>
    <row r="24" spans="1:60" ht="12.75" customHeight="1">
      <c r="A24" s="32" t="s">
        <v>378</v>
      </c>
      <c r="B24" s="32"/>
      <c r="C24" s="32"/>
      <c r="D24" s="32"/>
      <c r="E24" s="32"/>
      <c r="F24" s="128" t="str">
        <f t="shared" si="5"/>
        <v> A 283-C</v>
      </c>
      <c r="G24" s="32"/>
      <c r="H24" s="32"/>
      <c r="I24" s="83"/>
      <c r="J24" s="59"/>
      <c r="K24" s="694">
        <f>K23</f>
        <v>600</v>
      </c>
      <c r="L24" s="695"/>
      <c r="M24" s="60">
        <f t="shared" si="6"/>
        <v>10</v>
      </c>
      <c r="N24" s="536"/>
      <c r="O24" s="536"/>
      <c r="P24" s="423">
        <f>AQ24</f>
        <v>0</v>
      </c>
      <c r="Q24" s="422"/>
      <c r="R24" s="564">
        <f>IF(P24&lt;=0,0,PI()/4*(K24^2*(1-AR24)-0)*M24/10^9*P24*AD24*1000)</f>
        <v>0</v>
      </c>
      <c r="S24" s="565"/>
      <c r="T24" s="61">
        <v>1</v>
      </c>
      <c r="U24" s="542">
        <f t="shared" si="3"/>
        <v>0</v>
      </c>
      <c r="V24" s="543"/>
      <c r="W24" s="379">
        <f>IF(P24&lt;=0,0,W23)</f>
        <v>0</v>
      </c>
      <c r="X24" s="379"/>
      <c r="Y24" s="379"/>
      <c r="Z24" s="412">
        <f t="shared" si="4"/>
        <v>0</v>
      </c>
      <c r="AA24" s="379"/>
      <c r="AB24" s="379"/>
      <c r="AC24" s="2"/>
      <c r="AD24" s="54">
        <f t="shared" si="7"/>
        <v>7.85</v>
      </c>
      <c r="AE24" s="2"/>
      <c r="AF24" s="2"/>
      <c r="AG24" s="2"/>
      <c r="AH24" s="158" t="str">
        <f>AH23</f>
        <v>ASTM</v>
      </c>
      <c r="AI24" s="2" t="str">
        <f>AI23</f>
        <v>plate</v>
      </c>
      <c r="AJ24" s="2"/>
      <c r="AK24" s="2" t="str">
        <f>AK23</f>
        <v>A 283-C</v>
      </c>
      <c r="AL24" s="2"/>
      <c r="AM24" s="2"/>
      <c r="AN24" s="2"/>
      <c r="AO24" s="2">
        <f>AO23</f>
        <v>10</v>
      </c>
      <c r="AP24" s="2"/>
      <c r="AQ24" s="2">
        <f>data_file($AF$3,$AE$9,BG24,BH24)</f>
        <v>0</v>
      </c>
      <c r="AR24" s="2">
        <f>AR23*2</f>
        <v>0.39100221895577064</v>
      </c>
      <c r="AS24" s="2"/>
      <c r="AT24" s="2"/>
      <c r="AU24" s="2"/>
      <c r="AV24" s="2"/>
      <c r="AW24" s="2"/>
      <c r="AX24" s="2"/>
      <c r="BA24" s="2"/>
      <c r="BB24" s="2"/>
      <c r="BC24" s="2"/>
      <c r="BD24" s="2"/>
      <c r="BE24" s="2"/>
      <c r="BF24" s="2"/>
      <c r="BG24" s="2">
        <f>BG23-1</f>
        <v>27</v>
      </c>
      <c r="BH24" s="1">
        <f>BH23</f>
        <v>30</v>
      </c>
    </row>
    <row r="25" spans="1:60" ht="12.75" customHeight="1">
      <c r="A25" s="32"/>
      <c r="B25" s="32" t="s">
        <v>402</v>
      </c>
      <c r="C25" s="32"/>
      <c r="D25" s="32"/>
      <c r="E25" s="32"/>
      <c r="F25" s="58"/>
      <c r="G25" s="32"/>
      <c r="H25" s="32"/>
      <c r="I25" s="83"/>
      <c r="J25" s="59"/>
      <c r="K25" s="532"/>
      <c r="L25" s="533"/>
      <c r="M25" s="60"/>
      <c r="N25" s="379"/>
      <c r="O25" s="379"/>
      <c r="P25" s="423"/>
      <c r="Q25" s="422"/>
      <c r="R25" s="564"/>
      <c r="S25" s="565"/>
      <c r="T25" s="61">
        <v>1</v>
      </c>
      <c r="U25" s="542">
        <f t="shared" si="3"/>
        <v>0</v>
      </c>
      <c r="V25" s="543"/>
      <c r="W25" s="382"/>
      <c r="X25" s="382"/>
      <c r="Y25" s="382"/>
      <c r="Z25" s="412">
        <f t="shared" si="4"/>
        <v>0</v>
      </c>
      <c r="AA25" s="379"/>
      <c r="AB25" s="379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f>data_file($AF$3,$AE$9,AY25,AZ25)</f>
        <v>9.5</v>
      </c>
      <c r="AN25" s="144" t="s">
        <v>477</v>
      </c>
      <c r="AO25" s="2"/>
      <c r="AP25" s="2"/>
      <c r="AQ25" s="2">
        <f>data_file($AF$3,$AE$9,BG25,BH25)</f>
        <v>6</v>
      </c>
      <c r="AR25" s="2"/>
      <c r="AS25" s="2"/>
      <c r="AT25" s="2"/>
      <c r="AU25" s="2"/>
      <c r="AV25" s="2"/>
      <c r="AW25" s="2"/>
      <c r="AX25" s="2"/>
      <c r="AY25" s="76">
        <v>44</v>
      </c>
      <c r="AZ25" s="76">
        <v>9</v>
      </c>
      <c r="BA25" s="2"/>
      <c r="BB25" s="2"/>
      <c r="BC25" s="2"/>
      <c r="BD25" s="2"/>
      <c r="BE25" s="2"/>
      <c r="BF25" s="2"/>
      <c r="BG25" s="2">
        <f>AY25</f>
        <v>44</v>
      </c>
      <c r="BH25" s="1">
        <f>AZ25-2</f>
        <v>7</v>
      </c>
    </row>
    <row r="26" spans="1:59" ht="12.75" customHeight="1">
      <c r="A26" s="32"/>
      <c r="B26" s="32" t="s">
        <v>403</v>
      </c>
      <c r="C26" s="32"/>
      <c r="D26" s="32"/>
      <c r="E26" s="32"/>
      <c r="F26" s="58"/>
      <c r="G26" s="32"/>
      <c r="H26" s="32"/>
      <c r="I26" s="83"/>
      <c r="J26" s="59"/>
      <c r="K26" s="532"/>
      <c r="L26" s="533"/>
      <c r="M26" s="60"/>
      <c r="N26" s="379"/>
      <c r="O26" s="379"/>
      <c r="P26" s="423"/>
      <c r="Q26" s="422"/>
      <c r="R26" s="564"/>
      <c r="S26" s="565"/>
      <c r="T26" s="61">
        <v>1</v>
      </c>
      <c r="U26" s="542">
        <f t="shared" si="3"/>
        <v>0</v>
      </c>
      <c r="V26" s="543"/>
      <c r="W26" s="498"/>
      <c r="X26" s="498"/>
      <c r="Y26" s="498"/>
      <c r="Z26" s="412">
        <f t="shared" si="4"/>
        <v>0</v>
      </c>
      <c r="AA26" s="379"/>
      <c r="AB26" s="379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35" t="str">
        <f>data_file($AF$3,$AE$9,AY26,AZ26)</f>
        <v>TEMA</v>
      </c>
      <c r="AO26" s="2" t="str">
        <f>data_file($AF$3,$AE$9,BA26,BB26)</f>
        <v>WN</v>
      </c>
      <c r="AP26" s="2" t="str">
        <f>data_file($AF$3,$AE$9,BC26,BD26)</f>
        <v>150 lb</v>
      </c>
      <c r="AQ26" s="2"/>
      <c r="AR26" s="2"/>
      <c r="AS26" s="2"/>
      <c r="AT26" s="2"/>
      <c r="AU26" s="2"/>
      <c r="AV26" s="2"/>
      <c r="AW26" s="2"/>
      <c r="AX26" s="2"/>
      <c r="AY26" s="76">
        <v>38</v>
      </c>
      <c r="AZ26" s="76">
        <v>26</v>
      </c>
      <c r="BA26" s="2">
        <f>AY26</f>
        <v>38</v>
      </c>
      <c r="BB26" s="2">
        <f>AZ26+2</f>
        <v>28</v>
      </c>
      <c r="BC26" s="2">
        <f>AY26</f>
        <v>38</v>
      </c>
      <c r="BD26" s="2">
        <f>BB26+2</f>
        <v>30</v>
      </c>
      <c r="BE26" s="2"/>
      <c r="BF26" s="2"/>
      <c r="BG26" s="2"/>
    </row>
    <row r="27" spans="1:59" ht="12.75" customHeight="1">
      <c r="A27" s="32" t="s">
        <v>371</v>
      </c>
      <c r="B27" s="32"/>
      <c r="C27" s="32"/>
      <c r="D27" s="32"/>
      <c r="E27" s="32"/>
      <c r="F27" s="128" t="str">
        <f t="shared" si="5"/>
        <v> A 283-C</v>
      </c>
      <c r="G27" s="32"/>
      <c r="H27" s="32"/>
      <c r="I27" s="83"/>
      <c r="J27" s="59"/>
      <c r="K27" s="694">
        <f>K23</f>
        <v>600</v>
      </c>
      <c r="L27" s="695"/>
      <c r="M27" s="60">
        <f t="shared" si="6"/>
        <v>8</v>
      </c>
      <c r="N27" s="379">
        <f>IF(AI11&lt;&gt;"U",N20-AP13/(P23+1),AP13)</f>
        <v>5465.714285714285</v>
      </c>
      <c r="O27" s="379"/>
      <c r="P27" s="423">
        <f>IF(OR(AG11="F",AG11="G",AG11="H"),1,0)</f>
        <v>0</v>
      </c>
      <c r="Q27" s="422"/>
      <c r="R27" s="564">
        <f>IF(P27&lt;=0,0,K27*M27*N27/10^9*P27*AD27*1000)</f>
        <v>0</v>
      </c>
      <c r="S27" s="565"/>
      <c r="T27" s="61">
        <v>1</v>
      </c>
      <c r="U27" s="542">
        <f t="shared" si="3"/>
        <v>0</v>
      </c>
      <c r="V27" s="543"/>
      <c r="W27" s="378">
        <f>IF(P27&lt;=0,0,cost_plate(AK27,M27,""))</f>
        <v>0</v>
      </c>
      <c r="X27" s="379"/>
      <c r="Y27" s="380"/>
      <c r="Z27" s="412">
        <f t="shared" si="4"/>
        <v>0</v>
      </c>
      <c r="AA27" s="379"/>
      <c r="AB27" s="379"/>
      <c r="AC27" s="2"/>
      <c r="AD27" s="2">
        <f t="shared" si="7"/>
        <v>7.85</v>
      </c>
      <c r="AE27" s="2"/>
      <c r="AF27" s="2"/>
      <c r="AG27" s="2"/>
      <c r="AH27" s="158" t="str">
        <f>AH23</f>
        <v>ASTM</v>
      </c>
      <c r="AI27" s="2" t="str">
        <f>AI23</f>
        <v>plate</v>
      </c>
      <c r="AJ27" s="2"/>
      <c r="AK27" s="2" t="str">
        <f>AK23</f>
        <v>A 283-C</v>
      </c>
      <c r="AL27" s="2"/>
      <c r="AM27" s="2"/>
      <c r="AN27" s="2"/>
      <c r="AO27" s="2">
        <f>data_file($AF$3,$AE$9,BC27,BD27)</f>
        <v>8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>
        <f>BC23+1</f>
        <v>30</v>
      </c>
      <c r="BD27" s="2">
        <f>BD23</f>
        <v>33</v>
      </c>
      <c r="BE27" s="2"/>
      <c r="BF27" s="2"/>
      <c r="BG27" s="2"/>
    </row>
    <row r="28" spans="1:59" ht="12.75" customHeight="1">
      <c r="A28" s="32" t="s">
        <v>372</v>
      </c>
      <c r="B28" s="32"/>
      <c r="C28" s="32"/>
      <c r="D28" s="32"/>
      <c r="E28" s="32"/>
      <c r="F28" s="128" t="str">
        <f t="shared" si="5"/>
        <v> A 240 304</v>
      </c>
      <c r="G28" s="32"/>
      <c r="H28" s="32"/>
      <c r="I28" s="83"/>
      <c r="J28" s="59"/>
      <c r="K28" s="532" t="str">
        <f>AF28</f>
        <v>***</v>
      </c>
      <c r="L28" s="533"/>
      <c r="M28" s="60">
        <f>AG28</f>
        <v>6</v>
      </c>
      <c r="N28" s="536"/>
      <c r="O28" s="536"/>
      <c r="P28" s="423">
        <f>IF(AE28="Yes",P31,0)</f>
        <v>0</v>
      </c>
      <c r="Q28" s="422"/>
      <c r="R28" s="564">
        <f>IF(P28&lt;=0,0,PI()/4*K28^2*M28/10^9*P28*AD28*1000)</f>
        <v>0</v>
      </c>
      <c r="S28" s="565"/>
      <c r="T28" s="61">
        <v>1</v>
      </c>
      <c r="U28" s="542">
        <f t="shared" si="3"/>
        <v>0</v>
      </c>
      <c r="V28" s="543"/>
      <c r="W28" s="594">
        <f>IF(P28&lt;=0,0,cost_plate(AK28,M28,""))</f>
        <v>0</v>
      </c>
      <c r="X28" s="594"/>
      <c r="Y28" s="594"/>
      <c r="Z28" s="412">
        <f t="shared" si="4"/>
        <v>0</v>
      </c>
      <c r="AA28" s="379"/>
      <c r="AB28" s="379"/>
      <c r="AC28" s="2"/>
      <c r="AD28" s="2">
        <f t="shared" si="7"/>
        <v>7.93</v>
      </c>
      <c r="AE28" s="2" t="str">
        <f>data_file($AF$3,$AM$3,AN28,AO28)</f>
        <v>- N/A -</v>
      </c>
      <c r="AF28" s="2" t="str">
        <f>data_file($AF$3,$AE$9,AP28,AQ28)</f>
        <v>***</v>
      </c>
      <c r="AG28" s="2">
        <f>data_file($AF$3,$AE$9,AR28,AS28)</f>
        <v>6</v>
      </c>
      <c r="AH28" s="158" t="str">
        <f>AH23</f>
        <v>ASTM</v>
      </c>
      <c r="AI28" s="2" t="str">
        <f>AI23</f>
        <v>plate</v>
      </c>
      <c r="AJ28" s="2"/>
      <c r="AK28" s="2" t="str">
        <f>data_file($AF$3,$AM$3,AW28,AX28)</f>
        <v>A 240 304</v>
      </c>
      <c r="AL28" s="2"/>
      <c r="AM28" s="2"/>
      <c r="AN28" s="76">
        <v>46</v>
      </c>
      <c r="AO28" s="76">
        <v>16</v>
      </c>
      <c r="AP28" s="76">
        <v>34</v>
      </c>
      <c r="AQ28" s="76">
        <v>33</v>
      </c>
      <c r="AR28" s="2">
        <f>AP28</f>
        <v>34</v>
      </c>
      <c r="AS28" s="2">
        <f>AQ28+2</f>
        <v>35</v>
      </c>
      <c r="AT28" s="2"/>
      <c r="AU28" s="2"/>
      <c r="AV28" s="2"/>
      <c r="AW28" s="2">
        <f>AW23+1</f>
        <v>50</v>
      </c>
      <c r="AX28" s="2">
        <f>AX23</f>
        <v>27</v>
      </c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 customHeight="1">
      <c r="A29" s="54"/>
      <c r="B29" s="54"/>
      <c r="C29" s="54"/>
      <c r="D29" s="54"/>
      <c r="E29" s="54"/>
      <c r="F29" s="121"/>
      <c r="G29" s="54"/>
      <c r="H29" s="54"/>
      <c r="I29" s="122"/>
      <c r="J29" s="123"/>
      <c r="K29" s="562"/>
      <c r="L29" s="563"/>
      <c r="M29" s="124"/>
      <c r="N29" s="407"/>
      <c r="O29" s="407"/>
      <c r="P29" s="459"/>
      <c r="Q29" s="434"/>
      <c r="R29" s="568"/>
      <c r="S29" s="569"/>
      <c r="T29" s="125">
        <v>1</v>
      </c>
      <c r="U29" s="550">
        <f t="shared" si="3"/>
        <v>0</v>
      </c>
      <c r="V29" s="551"/>
      <c r="W29" s="498"/>
      <c r="X29" s="498"/>
      <c r="Y29" s="498"/>
      <c r="Z29" s="415">
        <f t="shared" si="4"/>
        <v>0</v>
      </c>
      <c r="AA29" s="406"/>
      <c r="AB29" s="40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customHeight="1">
      <c r="A30" s="45" t="s">
        <v>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64" t="s">
        <v>354</v>
      </c>
      <c r="P30" s="31"/>
      <c r="Q30" s="31"/>
      <c r="R30" s="643"/>
      <c r="S30" s="644"/>
      <c r="T30" s="55"/>
      <c r="U30" s="576"/>
      <c r="V30" s="577"/>
      <c r="W30" s="507"/>
      <c r="X30" s="507"/>
      <c r="Y30" s="507"/>
      <c r="Z30" s="419">
        <f t="shared" si="4"/>
        <v>0</v>
      </c>
      <c r="AA30" s="417"/>
      <c r="AB30" s="417"/>
      <c r="AC30" s="69"/>
      <c r="AD30" s="69"/>
      <c r="AE30" s="69"/>
      <c r="AF30" s="187" t="str">
        <f>AF19</f>
        <v>Normalized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2"/>
      <c r="BF30" s="2"/>
      <c r="BG30" s="2"/>
    </row>
    <row r="31" spans="1:59" ht="12.75" customHeight="1">
      <c r="A31" s="465" t="s">
        <v>353</v>
      </c>
      <c r="B31" s="465"/>
      <c r="C31" s="32" t="s">
        <v>350</v>
      </c>
      <c r="D31" s="32"/>
      <c r="E31" s="143" t="str">
        <f>AN31</f>
        <v>8"</v>
      </c>
      <c r="F31" s="58" t="str">
        <f>" "&amp;$AH$13&amp;AK31</f>
        <v> A 106-B</v>
      </c>
      <c r="G31" s="32"/>
      <c r="H31" s="32"/>
      <c r="I31" s="83"/>
      <c r="J31" s="59"/>
      <c r="K31" s="532">
        <f>pipe(AH31,AK31,AN31,AO31,1)</f>
        <v>219.075</v>
      </c>
      <c r="L31" s="533"/>
      <c r="M31" s="60">
        <f>pipe(AH31,AK31,AN31,AO31,2)</f>
        <v>8.178799999999999</v>
      </c>
      <c r="N31" s="382">
        <v>200</v>
      </c>
      <c r="O31" s="382"/>
      <c r="P31" s="326">
        <v>1</v>
      </c>
      <c r="Q31" s="553"/>
      <c r="R31" s="564">
        <f>IF(P31&lt;=0,0,PI()/4*(K31^2-(K31-2*M31)^2)*N31/10^9*P31*AD31*1000)</f>
        <v>8.507615777021694</v>
      </c>
      <c r="S31" s="565"/>
      <c r="T31" s="61">
        <v>1</v>
      </c>
      <c r="U31" s="542">
        <f aca="true" t="shared" si="8" ref="U31:U40">R31*T31</f>
        <v>8.507615777021694</v>
      </c>
      <c r="V31" s="543"/>
      <c r="W31" s="517">
        <f>IF(AI31="pipe",cost_pipe(AK31,$AF$31),cost_forging(AK31,M31,$AF$31))</f>
        <v>3000</v>
      </c>
      <c r="X31" s="517"/>
      <c r="Y31" s="517"/>
      <c r="Z31" s="412">
        <f t="shared" si="4"/>
        <v>25522.847331065084</v>
      </c>
      <c r="AA31" s="379"/>
      <c r="AB31" s="379"/>
      <c r="AC31" s="2"/>
      <c r="AD31" s="2">
        <f aca="true" t="shared" si="9" ref="AD31:AD52">mindex(AK31,-1)</f>
        <v>7.85</v>
      </c>
      <c r="AE31" s="2"/>
      <c r="AF31" s="2" t="s">
        <v>448</v>
      </c>
      <c r="AG31" s="2"/>
      <c r="AH31" s="158" t="str">
        <f>data_file($AF$3,$AM$3,AS31,AT31)</f>
        <v>ASTM</v>
      </c>
      <c r="AI31" s="2" t="str">
        <f>data_file($AF$3,$AM$3,AU31,AV31)</f>
        <v>pipe</v>
      </c>
      <c r="AJ31" s="2"/>
      <c r="AK31" s="2" t="str">
        <f>data_file($AF$3,$AM$3,AW31,AX31)</f>
        <v>A 106-B</v>
      </c>
      <c r="AL31" s="2"/>
      <c r="AM31" s="2"/>
      <c r="AN31" s="2" t="str">
        <f>data_file($AF$3,$AM$3,AY31,AZ31)</f>
        <v>8"</v>
      </c>
      <c r="AO31" s="5" t="str">
        <f>data_file($AF$3,$AM$3,BA31,BB31)</f>
        <v>Sch.40</v>
      </c>
      <c r="AP31" s="2"/>
      <c r="AQ31" s="2"/>
      <c r="AR31" s="2"/>
      <c r="AS31" s="76">
        <v>40</v>
      </c>
      <c r="AT31" s="76">
        <v>25</v>
      </c>
      <c r="AU31" s="2">
        <f>AS31</f>
        <v>40</v>
      </c>
      <c r="AV31" s="2">
        <f>AT31+2</f>
        <v>27</v>
      </c>
      <c r="AW31" s="2">
        <f>AS31+1</f>
        <v>41</v>
      </c>
      <c r="AX31" s="2">
        <f>AT31</f>
        <v>25</v>
      </c>
      <c r="AY31" s="76">
        <v>38</v>
      </c>
      <c r="AZ31" s="76">
        <v>8</v>
      </c>
      <c r="BA31" s="2">
        <f>AW31+1</f>
        <v>42</v>
      </c>
      <c r="BB31" s="2">
        <f>AX31</f>
        <v>25</v>
      </c>
      <c r="BC31" s="2"/>
      <c r="BD31" s="2"/>
      <c r="BE31" s="2"/>
      <c r="BF31" s="2"/>
      <c r="BG31" s="2"/>
    </row>
    <row r="32" spans="1:59" ht="12.75" customHeight="1">
      <c r="A32" s="531"/>
      <c r="B32" s="531"/>
      <c r="C32" s="32" t="s">
        <v>351</v>
      </c>
      <c r="D32" s="32"/>
      <c r="E32" s="32"/>
      <c r="F32" s="58" t="str">
        <f>IF(P32&lt;=0,"***"," "&amp;$AH$13&amp;AK32)</f>
        <v> A 516-70</v>
      </c>
      <c r="G32" s="32"/>
      <c r="H32" s="32"/>
      <c r="I32" s="83"/>
      <c r="J32" s="59"/>
      <c r="K32" s="532">
        <f>IF(P32&lt;=0,"***",K31+MIN(300*2,K31))</f>
        <v>438.15</v>
      </c>
      <c r="L32" s="533"/>
      <c r="M32" s="60">
        <f>IF(P32&lt;=0,"***",M20)</f>
        <v>12</v>
      </c>
      <c r="N32" s="536"/>
      <c r="O32" s="536"/>
      <c r="P32" s="423">
        <f>IF(P31&lt;=0,0,IF(AI31="forging",0,IF(K31&lt;50,0,P31)))</f>
        <v>1</v>
      </c>
      <c r="Q32" s="422"/>
      <c r="R32" s="564">
        <f>IF(P32&lt;=0,0,PI()/4*(K32^2-K31^2)*M32/10^9*P32*AD32*1000)</f>
        <v>10.652405241188257</v>
      </c>
      <c r="S32" s="565"/>
      <c r="T32" s="61">
        <v>1</v>
      </c>
      <c r="U32" s="542">
        <f t="shared" si="8"/>
        <v>10.652405241188257</v>
      </c>
      <c r="V32" s="543"/>
      <c r="W32" s="379">
        <f>IF(P32&lt;=0,0,cost_plate(AK32,M32,$AF$31))</f>
        <v>1000</v>
      </c>
      <c r="X32" s="379"/>
      <c r="Y32" s="379"/>
      <c r="Z32" s="412">
        <f t="shared" si="4"/>
        <v>10652.405241188257</v>
      </c>
      <c r="AA32" s="379"/>
      <c r="AB32" s="379"/>
      <c r="AC32" s="2"/>
      <c r="AD32" s="2">
        <f t="shared" si="9"/>
        <v>7.85</v>
      </c>
      <c r="AE32" s="2"/>
      <c r="AH32" s="221" t="str">
        <f>AH31</f>
        <v>ASTM</v>
      </c>
      <c r="AI32" s="1" t="str">
        <f>AI20</f>
        <v>plate</v>
      </c>
      <c r="AK32" s="1" t="str">
        <f>AK20</f>
        <v>A 516-70</v>
      </c>
      <c r="BE32" s="2"/>
      <c r="BF32" s="2"/>
      <c r="BG32" s="2"/>
    </row>
    <row r="33" spans="1:59" ht="12.75" customHeight="1">
      <c r="A33" s="495"/>
      <c r="B33" s="495"/>
      <c r="C33" s="54" t="s">
        <v>352</v>
      </c>
      <c r="D33" s="54"/>
      <c r="E33" s="54"/>
      <c r="F33" s="121" t="str">
        <f>IF(P33&lt;=0,"***"," "&amp;$AH$13&amp;AK33)</f>
        <v> A 105</v>
      </c>
      <c r="G33" s="54"/>
      <c r="H33" s="54"/>
      <c r="I33" s="122"/>
      <c r="J33" s="123"/>
      <c r="K33" s="562">
        <f>IF(P33&lt;=0,"***",STD_flange(AN33,AO33,AP33,AN31,-1))</f>
        <v>342.9</v>
      </c>
      <c r="L33" s="563"/>
      <c r="M33" s="124">
        <f>IF(P33&lt;=0,"***",STD_flange(AN33,AO33,AP33,AN31,8))</f>
        <v>26.848</v>
      </c>
      <c r="N33" s="541">
        <f>IF(P33&lt;=0,"***",STD_flange(AN33,AO33,AP33,AN31,16)/7.85*AD33)</f>
        <v>17.68</v>
      </c>
      <c r="O33" s="541"/>
      <c r="P33" s="459">
        <f>IF(AF33&lt;&gt;"Flanged",0,P31)</f>
        <v>1</v>
      </c>
      <c r="Q33" s="434"/>
      <c r="R33" s="568">
        <f>IF(P33&lt;=0,0,N33*P33)</f>
        <v>17.68</v>
      </c>
      <c r="S33" s="569"/>
      <c r="T33" s="125">
        <v>1</v>
      </c>
      <c r="U33" s="550">
        <f t="shared" si="8"/>
        <v>17.68</v>
      </c>
      <c r="V33" s="551"/>
      <c r="W33" s="552">
        <f>IF(P33&lt;=0,0,cost_flange(AK33,AN31,AP33,$AF$31))</f>
        <v>80000</v>
      </c>
      <c r="X33" s="552"/>
      <c r="Y33" s="552"/>
      <c r="Z33" s="430">
        <f>P33*W33</f>
        <v>80000</v>
      </c>
      <c r="AA33" s="407"/>
      <c r="AB33" s="407"/>
      <c r="AC33" s="2"/>
      <c r="AD33" s="2">
        <f t="shared" si="9"/>
        <v>7.85</v>
      </c>
      <c r="AE33" s="2"/>
      <c r="AF33" s="2" t="str">
        <f>data_file($AF$3,$AM$3,AQ33,AR33)</f>
        <v>Flanged</v>
      </c>
      <c r="AG33" s="2"/>
      <c r="AH33" s="158" t="str">
        <f>AH31</f>
        <v>ASTM</v>
      </c>
      <c r="AI33" s="2" t="str">
        <f>data_file($AF$3,$AM$3,AU33,AV33)</f>
        <v>forging</v>
      </c>
      <c r="AJ33" s="2"/>
      <c r="AK33" s="2" t="str">
        <f>data_file($AF$3,$AM$3,AW33,AX33)</f>
        <v>A 105</v>
      </c>
      <c r="AL33" s="2"/>
      <c r="AM33" s="2"/>
      <c r="AN33" s="158" t="str">
        <f>data_file($AF$3,$AM$3,AY33,AZ33)</f>
        <v>ANSI</v>
      </c>
      <c r="AO33" s="2" t="str">
        <f>data_file($AF$3,$AM$3,BA33,BB33)</f>
        <v>WN</v>
      </c>
      <c r="AP33" s="2" t="str">
        <f>data_file($AF$3,$AM$3,BC33,BD33)</f>
        <v>150 lb</v>
      </c>
      <c r="AQ33" s="2">
        <f>AY31</f>
        <v>38</v>
      </c>
      <c r="AR33" s="2">
        <f>AZ31+2</f>
        <v>10</v>
      </c>
      <c r="AU33" s="2">
        <f>AY33</f>
        <v>54</v>
      </c>
      <c r="AV33" s="2">
        <f>AZ33+2</f>
        <v>27</v>
      </c>
      <c r="AW33" s="1">
        <f>AY33+1</f>
        <v>55</v>
      </c>
      <c r="AX33" s="1">
        <f>AZ33</f>
        <v>25</v>
      </c>
      <c r="AY33" s="76">
        <v>54</v>
      </c>
      <c r="AZ33" s="76">
        <v>25</v>
      </c>
      <c r="BA33" s="2">
        <f>AY33+4</f>
        <v>58</v>
      </c>
      <c r="BB33" s="2">
        <f>AZ33</f>
        <v>25</v>
      </c>
      <c r="BC33" s="2">
        <f>BA33+1</f>
        <v>59</v>
      </c>
      <c r="BD33" s="2">
        <f>BB33</f>
        <v>25</v>
      </c>
      <c r="BE33" s="2"/>
      <c r="BF33" s="2"/>
      <c r="BG33" s="2"/>
    </row>
    <row r="34" spans="1:59" ht="12.75" customHeight="1">
      <c r="A34" s="465" t="s">
        <v>355</v>
      </c>
      <c r="B34" s="465"/>
      <c r="C34" s="32" t="s">
        <v>350</v>
      </c>
      <c r="D34" s="32"/>
      <c r="E34" s="143" t="str">
        <f>AN34</f>
        <v>8"</v>
      </c>
      <c r="F34" s="58" t="str">
        <f>" "&amp;$AH$13&amp;AK34</f>
        <v> A 106-B</v>
      </c>
      <c r="G34" s="32"/>
      <c r="H34" s="32"/>
      <c r="I34" s="83"/>
      <c r="J34" s="59"/>
      <c r="K34" s="532">
        <f>pipe(AH34,AK34,AN34,AO34,1)</f>
        <v>219.075</v>
      </c>
      <c r="L34" s="533"/>
      <c r="M34" s="60">
        <f>pipe(AH34,AK34,AN34,AO34,2)</f>
        <v>8.178799999999999</v>
      </c>
      <c r="N34" s="379">
        <f>N31</f>
        <v>200</v>
      </c>
      <c r="O34" s="379"/>
      <c r="P34" s="326">
        <v>1</v>
      </c>
      <c r="Q34" s="553"/>
      <c r="R34" s="564">
        <f>IF(P34&lt;=0,0,PI()/4*(K34^2-(K34-2*M34)^2)*N34/10^9*P34*AD34*1000)</f>
        <v>8.507615777021694</v>
      </c>
      <c r="S34" s="565"/>
      <c r="T34" s="61">
        <v>1</v>
      </c>
      <c r="U34" s="542">
        <f t="shared" si="8"/>
        <v>8.507615777021694</v>
      </c>
      <c r="V34" s="543"/>
      <c r="W34" s="379">
        <f>IF(AI34="pipe",cost_pipe(AK34,$AF$31),cost_forging(AK34,M34,$AF$31))</f>
        <v>3000</v>
      </c>
      <c r="X34" s="379"/>
      <c r="Y34" s="379"/>
      <c r="Z34" s="412">
        <f>U34*W34</f>
        <v>25522.847331065084</v>
      </c>
      <c r="AA34" s="379"/>
      <c r="AB34" s="379"/>
      <c r="AC34" s="54"/>
      <c r="AD34" s="54">
        <f t="shared" si="9"/>
        <v>7.85</v>
      </c>
      <c r="AE34" s="54"/>
      <c r="AF34" s="54"/>
      <c r="AG34" s="54"/>
      <c r="AH34" s="157" t="str">
        <f>data_file($AF$3,$AM$3,AS34,AT34)</f>
        <v>ASTM</v>
      </c>
      <c r="AI34" s="54" t="str">
        <f>AI31</f>
        <v>pipe</v>
      </c>
      <c r="AJ34" s="54"/>
      <c r="AK34" s="54" t="str">
        <f>data_file($AF$3,$AM$3,AW34,AX34)</f>
        <v>A 106-B</v>
      </c>
      <c r="AL34" s="54"/>
      <c r="AM34" s="54"/>
      <c r="AN34" s="54" t="str">
        <f>data_file($AF$3,$AM$3,AY34,AZ34)</f>
        <v>8"</v>
      </c>
      <c r="AO34" s="122" t="str">
        <f>data_file($AF$3,$AM$3,BA34,BB34)</f>
        <v>Sch.40</v>
      </c>
      <c r="AP34" s="54"/>
      <c r="AQ34" s="54"/>
      <c r="AR34" s="54"/>
      <c r="AS34" s="54">
        <f>AS31</f>
        <v>40</v>
      </c>
      <c r="AT34" s="54">
        <f>AT31</f>
        <v>25</v>
      </c>
      <c r="AU34" s="54"/>
      <c r="AV34" s="54"/>
      <c r="AW34" s="54">
        <f>AS34+1</f>
        <v>41</v>
      </c>
      <c r="AX34" s="54">
        <f>AT34</f>
        <v>25</v>
      </c>
      <c r="AY34" s="54">
        <f>AY31+1</f>
        <v>39</v>
      </c>
      <c r="AZ34" s="54">
        <f>AZ31</f>
        <v>8</v>
      </c>
      <c r="BA34" s="54">
        <f>AW34+1</f>
        <v>42</v>
      </c>
      <c r="BB34" s="54">
        <f>AX34+2</f>
        <v>27</v>
      </c>
      <c r="BC34" s="54"/>
      <c r="BD34" s="54"/>
      <c r="BE34" s="2"/>
      <c r="BF34" s="2"/>
      <c r="BG34" s="2"/>
    </row>
    <row r="35" spans="1:59" ht="12.75" customHeight="1">
      <c r="A35" s="531"/>
      <c r="B35" s="531"/>
      <c r="C35" s="32" t="s">
        <v>351</v>
      </c>
      <c r="D35" s="32"/>
      <c r="E35" s="32"/>
      <c r="F35" s="58" t="str">
        <f aca="true" t="shared" si="10" ref="F35:F40">IF(P35&lt;=0,"***"," "&amp;$AH$13&amp;AK35)</f>
        <v> A 516-70</v>
      </c>
      <c r="G35" s="32"/>
      <c r="H35" s="32"/>
      <c r="I35" s="83"/>
      <c r="J35" s="59"/>
      <c r="K35" s="532">
        <f>IF(P35&lt;=0,"***",K34+MIN(300*2,K34))</f>
        <v>438.15</v>
      </c>
      <c r="L35" s="533"/>
      <c r="M35" s="60">
        <f>IF(P35&lt;=0,"***",M20)</f>
        <v>12</v>
      </c>
      <c r="N35" s="536"/>
      <c r="O35" s="536"/>
      <c r="P35" s="423">
        <f>IF(P34&lt;=0,0,IF(AI34="forging",0,IF(K34&lt;50,0,P34)))</f>
        <v>1</v>
      </c>
      <c r="Q35" s="422"/>
      <c r="R35" s="564">
        <f>IF(P35&lt;=0,0,PI()/4*(K35^2-K34^2)*M35/10^9*P35*AD35*1000)</f>
        <v>10.652405241188257</v>
      </c>
      <c r="S35" s="565"/>
      <c r="T35" s="61">
        <v>1</v>
      </c>
      <c r="U35" s="542">
        <f>R35*T35</f>
        <v>10.652405241188257</v>
      </c>
      <c r="V35" s="543"/>
      <c r="W35" s="379">
        <f>IF(P35&lt;=0,0,cost_plate(AK35,M35,$AF$31))</f>
        <v>1000</v>
      </c>
      <c r="X35" s="379"/>
      <c r="Y35" s="379"/>
      <c r="Z35" s="412">
        <f>U35*W35</f>
        <v>10652.405241188257</v>
      </c>
      <c r="AA35" s="379"/>
      <c r="AB35" s="379"/>
      <c r="AC35" s="2"/>
      <c r="AD35" s="2">
        <f t="shared" si="9"/>
        <v>7.85</v>
      </c>
      <c r="AE35" s="2"/>
      <c r="AF35" s="2"/>
      <c r="AG35" s="2"/>
      <c r="AH35" s="158" t="str">
        <f>AH34</f>
        <v>ASTM</v>
      </c>
      <c r="AI35" s="2" t="str">
        <f>AI32</f>
        <v>plate</v>
      </c>
      <c r="AJ35" s="2"/>
      <c r="AK35" s="2" t="str">
        <f>AK32</f>
        <v>A 516-70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2.75" customHeight="1">
      <c r="A36" s="487"/>
      <c r="B36" s="487"/>
      <c r="C36" s="33" t="s">
        <v>352</v>
      </c>
      <c r="D36" s="33"/>
      <c r="E36" s="33"/>
      <c r="F36" s="133" t="str">
        <f t="shared" si="10"/>
        <v> A 105</v>
      </c>
      <c r="G36" s="33"/>
      <c r="H36" s="33"/>
      <c r="I36" s="84"/>
      <c r="J36" s="134"/>
      <c r="K36" s="574">
        <f>IF(P36&lt;=0,"***",STD_flange(AN36,AO36,AP36,AN34,-1))</f>
        <v>342.9</v>
      </c>
      <c r="L36" s="575"/>
      <c r="M36" s="135">
        <f>IF(P36&lt;=0,"***",STD_flange(AN36,AO36,AP36,AN34,8))</f>
        <v>26.848</v>
      </c>
      <c r="N36" s="500">
        <f>IF(P36&lt;=0,"***",STD_flange(AN36,AO36,AP36,AN34,16)/7.85*AD36)</f>
        <v>17.68</v>
      </c>
      <c r="O36" s="500"/>
      <c r="P36" s="557">
        <f>IF(AF36&lt;&gt;"Flanged",0,P34)</f>
        <v>1</v>
      </c>
      <c r="Q36" s="449"/>
      <c r="R36" s="578">
        <f>IF(P36&lt;=0,0,N36*P36)</f>
        <v>17.68</v>
      </c>
      <c r="S36" s="579"/>
      <c r="T36" s="136">
        <v>1</v>
      </c>
      <c r="U36" s="585">
        <f t="shared" si="8"/>
        <v>17.68</v>
      </c>
      <c r="V36" s="586"/>
      <c r="W36" s="407">
        <f>IF(P36&lt;=0,0,cost_flange(AK36,AN34,AP36,$AF$31))</f>
        <v>80000</v>
      </c>
      <c r="X36" s="407"/>
      <c r="Y36" s="407"/>
      <c r="Z36" s="415">
        <f>P36*W36</f>
        <v>80000</v>
      </c>
      <c r="AA36" s="406"/>
      <c r="AB36" s="406"/>
      <c r="AC36" s="137"/>
      <c r="AD36" s="137">
        <f t="shared" si="9"/>
        <v>7.85</v>
      </c>
      <c r="AE36" s="137"/>
      <c r="AF36" s="137" t="str">
        <f>data_file($AF$3,$AM$3,AQ36,AR36)</f>
        <v>Flanged</v>
      </c>
      <c r="AG36" s="137"/>
      <c r="AH36" s="236" t="str">
        <f>AH34</f>
        <v>ASTM</v>
      </c>
      <c r="AI36" s="137" t="str">
        <f>data_file($AF$3,$AM$3,AU36,AV36)</f>
        <v>forging</v>
      </c>
      <c r="AJ36" s="137"/>
      <c r="AK36" s="137" t="str">
        <f>data_file($AF$3,$AM$3,AW36,AX36)</f>
        <v>A 105</v>
      </c>
      <c r="AL36" s="137"/>
      <c r="AM36" s="137"/>
      <c r="AN36" s="236" t="str">
        <f>data_file($AF$3,$AM$3,AY36,AZ36)</f>
        <v>ANSI</v>
      </c>
      <c r="AO36" s="137" t="str">
        <f>data_file($AF$3,$AM$3,BA36,BB36)</f>
        <v>WN</v>
      </c>
      <c r="AP36" s="137" t="str">
        <f>data_file($AF$3,$AM$3,BC36,BD36)</f>
        <v>150 lb</v>
      </c>
      <c r="AQ36" s="137">
        <f>AY34</f>
        <v>39</v>
      </c>
      <c r="AR36" s="137">
        <f>AZ34+2</f>
        <v>10</v>
      </c>
      <c r="AU36" s="137">
        <f>AY36</f>
        <v>54</v>
      </c>
      <c r="AV36" s="137">
        <f>AZ36+2</f>
        <v>27</v>
      </c>
      <c r="AW36" s="137">
        <f>AY36+1</f>
        <v>55</v>
      </c>
      <c r="AX36" s="137">
        <f>AZ36</f>
        <v>25</v>
      </c>
      <c r="AY36" s="137">
        <f>AY33</f>
        <v>54</v>
      </c>
      <c r="AZ36" s="137">
        <f>AZ33</f>
        <v>25</v>
      </c>
      <c r="BA36" s="137">
        <f>AY36+4</f>
        <v>58</v>
      </c>
      <c r="BB36" s="137">
        <f>AZ36+2</f>
        <v>27</v>
      </c>
      <c r="BC36" s="137">
        <f>BA36+1</f>
        <v>59</v>
      </c>
      <c r="BD36" s="137">
        <f>BB36</f>
        <v>27</v>
      </c>
      <c r="BE36" s="2"/>
      <c r="BF36" s="2"/>
      <c r="BG36" s="2"/>
    </row>
    <row r="37" spans="1:59" ht="12.75" customHeight="1">
      <c r="A37" s="485" t="s">
        <v>401</v>
      </c>
      <c r="B37" s="485"/>
      <c r="C37" s="32" t="s">
        <v>350</v>
      </c>
      <c r="D37" s="32"/>
      <c r="E37" s="143" t="str">
        <f>AN37</f>
        <v>3/4"</v>
      </c>
      <c r="F37" s="58" t="str">
        <f t="shared" si="10"/>
        <v> A 106-B</v>
      </c>
      <c r="G37" s="32"/>
      <c r="H37" s="32"/>
      <c r="I37" s="83"/>
      <c r="J37" s="59"/>
      <c r="K37" s="532">
        <f>IF(P37&lt;=0,"***",pipe(AH37,AK37,AN37,AO37,1))</f>
        <v>26.669999999999998</v>
      </c>
      <c r="L37" s="533"/>
      <c r="M37" s="60">
        <f>IF(P37&lt;=0,"***",pipe(AH37,AK37,AN37,AO37,2))</f>
        <v>2.8702</v>
      </c>
      <c r="N37" s="379">
        <f>IF(P37&lt;=0,"***",N34)</f>
        <v>200</v>
      </c>
      <c r="O37" s="379"/>
      <c r="P37" s="326">
        <v>1</v>
      </c>
      <c r="Q37" s="553"/>
      <c r="R37" s="564">
        <f>IF(P37&lt;=0,0,PI()/4*(K37^2-(K37-2*M37)^2)*N37/10^9*P37*AD37*1000)</f>
        <v>0.3369263620523431</v>
      </c>
      <c r="S37" s="565"/>
      <c r="T37" s="61">
        <v>1</v>
      </c>
      <c r="U37" s="542">
        <f t="shared" si="8"/>
        <v>0.3369263620523431</v>
      </c>
      <c r="V37" s="543"/>
      <c r="W37" s="416">
        <f>IF(AI37="pipe",cost_pipe(AK37,$AF$31),cost_forging(AK37,M37,$AF$31))</f>
        <v>3000</v>
      </c>
      <c r="X37" s="417"/>
      <c r="Y37" s="418"/>
      <c r="Z37" s="412">
        <f>U37*W37</f>
        <v>1010.7790861570294</v>
      </c>
      <c r="AA37" s="379"/>
      <c r="AB37" s="379"/>
      <c r="AC37" s="2"/>
      <c r="AD37" s="2">
        <f t="shared" si="9"/>
        <v>7.85</v>
      </c>
      <c r="AE37" s="2"/>
      <c r="AF37" s="2"/>
      <c r="AG37" s="2"/>
      <c r="AH37" s="158" t="str">
        <f>AH34</f>
        <v>ASTM</v>
      </c>
      <c r="AI37" s="2" t="str">
        <f>AI34</f>
        <v>pipe</v>
      </c>
      <c r="AJ37" s="2"/>
      <c r="AK37" s="2" t="str">
        <f>AK34</f>
        <v>A 106-B</v>
      </c>
      <c r="AL37" s="2"/>
      <c r="AM37" s="2"/>
      <c r="AN37" s="76" t="str">
        <f>IF(OR(AH37="ASTM",AH37="ASME"),"3/4""","20 A")</f>
        <v>3/4"</v>
      </c>
      <c r="AO37" s="5" t="str">
        <f>AO34</f>
        <v>Sch.40</v>
      </c>
      <c r="AP37" s="2"/>
      <c r="AQ37" s="2"/>
      <c r="AR37" s="2"/>
      <c r="AS37" s="69"/>
      <c r="AT37" s="6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 customHeight="1">
      <c r="A38" s="531"/>
      <c r="B38" s="531"/>
      <c r="C38" s="54" t="s">
        <v>352</v>
      </c>
      <c r="D38" s="54"/>
      <c r="E38" s="54"/>
      <c r="F38" s="121" t="str">
        <f t="shared" si="10"/>
        <v> A 105</v>
      </c>
      <c r="G38" s="54"/>
      <c r="H38" s="54"/>
      <c r="I38" s="122"/>
      <c r="J38" s="123"/>
      <c r="K38" s="562">
        <f>IF(P38&lt;=0,"***",STD_flange(AN38,AO38,AP38,AN37,-1))</f>
        <v>98.55199999999999</v>
      </c>
      <c r="L38" s="563"/>
      <c r="M38" s="124">
        <f>IF(P38&lt;=0,"***",STD_flange(AN38,AO38,AP38,AN37,8))</f>
        <v>11.1</v>
      </c>
      <c r="N38" s="541">
        <f>IF(P38&lt;=0,"***",STD_flange(AN38,AO38,AP38,AN37,16)/7.85*AD38)</f>
        <v>0.73</v>
      </c>
      <c r="O38" s="541"/>
      <c r="P38" s="459">
        <f>IF(AF38&lt;&gt;"Flanged",0,P37)</f>
        <v>1</v>
      </c>
      <c r="Q38" s="434"/>
      <c r="R38" s="568">
        <f>IF(P38&lt;=0,0,N38*P38)</f>
        <v>0.73</v>
      </c>
      <c r="S38" s="569"/>
      <c r="T38" s="125">
        <v>1</v>
      </c>
      <c r="U38" s="550">
        <f t="shared" si="8"/>
        <v>0.73</v>
      </c>
      <c r="V38" s="551"/>
      <c r="W38" s="407">
        <f>IF(P38&lt;=0,0,cost_flange(AK38,AN37,AP38,$AF$31))</f>
        <v>7500</v>
      </c>
      <c r="X38" s="407"/>
      <c r="Y38" s="407"/>
      <c r="Z38" s="430">
        <f>P38*W38</f>
        <v>7500</v>
      </c>
      <c r="AA38" s="407"/>
      <c r="AB38" s="407"/>
      <c r="AC38" s="2"/>
      <c r="AD38" s="2">
        <f t="shared" si="9"/>
        <v>7.85</v>
      </c>
      <c r="AE38" s="2"/>
      <c r="AF38" s="2" t="str">
        <f>AF36</f>
        <v>Flanged</v>
      </c>
      <c r="AG38" s="2"/>
      <c r="AH38" s="158" t="str">
        <f aca="true" t="shared" si="11" ref="AH38:AI40">AH36</f>
        <v>ASTM</v>
      </c>
      <c r="AI38" s="2" t="str">
        <f t="shared" si="11"/>
        <v>forging</v>
      </c>
      <c r="AJ38" s="2"/>
      <c r="AK38" s="2" t="str">
        <f>AK36</f>
        <v>A 105</v>
      </c>
      <c r="AL38" s="2"/>
      <c r="AM38" s="2"/>
      <c r="AN38" s="158" t="str">
        <f>AN36</f>
        <v>ANSI</v>
      </c>
      <c r="AO38" s="2" t="str">
        <f>AO36</f>
        <v>WN</v>
      </c>
      <c r="AP38" s="2" t="str">
        <f>AP36</f>
        <v>150 lb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2.75" customHeight="1">
      <c r="A39" s="465" t="s">
        <v>400</v>
      </c>
      <c r="B39" s="465"/>
      <c r="C39" s="32" t="s">
        <v>350</v>
      </c>
      <c r="D39" s="32"/>
      <c r="E39" s="143" t="str">
        <f>AN39</f>
        <v>3/4"</v>
      </c>
      <c r="F39" s="58" t="str">
        <f t="shared" si="10"/>
        <v> A 106-B</v>
      </c>
      <c r="G39" s="32"/>
      <c r="H39" s="32"/>
      <c r="I39" s="83"/>
      <c r="J39" s="59"/>
      <c r="K39" s="532">
        <f>IF(P39&lt;=0,"***",pipe(AH39,AK39,AN39,AO39,1))</f>
        <v>26.669999999999998</v>
      </c>
      <c r="L39" s="533"/>
      <c r="M39" s="60">
        <f>IF(P39&lt;=0,"***",pipe(AH39,AK39,AN39,AO39,2))</f>
        <v>2.8702</v>
      </c>
      <c r="N39" s="379">
        <f>N31</f>
        <v>200</v>
      </c>
      <c r="O39" s="379"/>
      <c r="P39" s="326">
        <v>1</v>
      </c>
      <c r="Q39" s="553"/>
      <c r="R39" s="564">
        <f>IF(P39&lt;=0,0,PI()/4*(K39^2-(K39-2*M39)^2)*N39/10^9*P39*AD39*1000)</f>
        <v>0.3369263620523431</v>
      </c>
      <c r="S39" s="565"/>
      <c r="T39" s="61">
        <v>1</v>
      </c>
      <c r="U39" s="542">
        <f t="shared" si="8"/>
        <v>0.3369263620523431</v>
      </c>
      <c r="V39" s="543"/>
      <c r="W39" s="379">
        <f>IF(AI39="pipe",cost_pipe(AK39,$AF$31),cost_forging(AK39,M39,$AF$31))</f>
        <v>3000</v>
      </c>
      <c r="X39" s="379"/>
      <c r="Y39" s="379"/>
      <c r="Z39" s="412">
        <f>U39*W39</f>
        <v>1010.7790861570294</v>
      </c>
      <c r="AA39" s="379"/>
      <c r="AB39" s="379"/>
      <c r="AC39" s="2"/>
      <c r="AD39" s="2">
        <f t="shared" si="9"/>
        <v>7.85</v>
      </c>
      <c r="AE39" s="2"/>
      <c r="AF39" s="2"/>
      <c r="AG39" s="2"/>
      <c r="AH39" s="158" t="str">
        <f t="shared" si="11"/>
        <v>ASTM</v>
      </c>
      <c r="AI39" s="2" t="str">
        <f t="shared" si="11"/>
        <v>pipe</v>
      </c>
      <c r="AJ39" s="2"/>
      <c r="AK39" s="2" t="str">
        <f>AK37</f>
        <v>A 106-B</v>
      </c>
      <c r="AL39" s="2"/>
      <c r="AM39" s="2"/>
      <c r="AN39" s="2" t="str">
        <f>AN37</f>
        <v>3/4"</v>
      </c>
      <c r="AO39" s="5" t="str">
        <f>AO37</f>
        <v>Sch.40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2.75" customHeight="1">
      <c r="A40" s="531"/>
      <c r="B40" s="531"/>
      <c r="C40" s="54" t="s">
        <v>352</v>
      </c>
      <c r="D40" s="54"/>
      <c r="E40" s="54"/>
      <c r="F40" s="121" t="str">
        <f t="shared" si="10"/>
        <v> A 105</v>
      </c>
      <c r="G40" s="54"/>
      <c r="H40" s="54"/>
      <c r="I40" s="122"/>
      <c r="J40" s="123"/>
      <c r="K40" s="562">
        <f>IF(P40&lt;=0,"***",STD_flange(AN40,AO40,AP40,AN39,-1))</f>
        <v>98.55199999999999</v>
      </c>
      <c r="L40" s="563"/>
      <c r="M40" s="124">
        <f>IF(P40&lt;=0,"***",STD_flange(AN40,AO40,AP40,AN39,8))</f>
        <v>11.1</v>
      </c>
      <c r="N40" s="541">
        <f>IF(P40&lt;=0,"***",STD_flange(AN40,AO40,AP40,AN39,16)/7.85*AD40)</f>
        <v>0.73</v>
      </c>
      <c r="O40" s="541"/>
      <c r="P40" s="459">
        <f>IF(AF40&lt;&gt;"Flanged",0,P39)</f>
        <v>1</v>
      </c>
      <c r="Q40" s="434"/>
      <c r="R40" s="568">
        <f>IF(P40&lt;=0,0,N40*P40)</f>
        <v>0.73</v>
      </c>
      <c r="S40" s="569"/>
      <c r="T40" s="125">
        <v>1</v>
      </c>
      <c r="U40" s="550">
        <f t="shared" si="8"/>
        <v>0.73</v>
      </c>
      <c r="V40" s="551"/>
      <c r="W40" s="407">
        <f>IF(P40&lt;=0,0,cost_flange(AK40,AN39,AP40,$AF$31))</f>
        <v>7500</v>
      </c>
      <c r="X40" s="407"/>
      <c r="Y40" s="407"/>
      <c r="Z40" s="430">
        <f>P40*W40</f>
        <v>7500</v>
      </c>
      <c r="AA40" s="407"/>
      <c r="AB40" s="407"/>
      <c r="AC40" s="2"/>
      <c r="AD40" s="2">
        <f t="shared" si="9"/>
        <v>7.85</v>
      </c>
      <c r="AE40" s="2"/>
      <c r="AF40" s="2" t="str">
        <f>AF38</f>
        <v>Flanged</v>
      </c>
      <c r="AG40" s="2"/>
      <c r="AH40" s="158" t="str">
        <f t="shared" si="11"/>
        <v>ASTM</v>
      </c>
      <c r="AI40" s="2" t="str">
        <f t="shared" si="11"/>
        <v>forging</v>
      </c>
      <c r="AJ40" s="2"/>
      <c r="AK40" s="2" t="str">
        <f>AK38</f>
        <v>A 105</v>
      </c>
      <c r="AL40" s="2"/>
      <c r="AM40" s="2"/>
      <c r="AN40" s="158" t="str">
        <f>AN38</f>
        <v>ANSI</v>
      </c>
      <c r="AO40" s="2" t="str">
        <f>AO38</f>
        <v>WN</v>
      </c>
      <c r="AP40" s="2" t="str">
        <f>AP38</f>
        <v>150 lb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 customHeight="1">
      <c r="A41" s="239" t="s">
        <v>71</v>
      </c>
      <c r="B41" s="238"/>
      <c r="C41" s="31" t="s">
        <v>445</v>
      </c>
      <c r="D41" s="31"/>
      <c r="E41" s="167" t="str">
        <f>IF(P41&lt;=0,"***",IF(AI41="pipe",AN41,"ID"&amp;AN42))</f>
        <v>***</v>
      </c>
      <c r="F41" s="52" t="str">
        <f>IF(P41&lt;=0,"***",IF(AI41="pipe"," "&amp;$AH$13&amp;AK41,IF(AI41="plate"," "&amp;$AH$13&amp;AK42," "&amp;$AH$13&amp;AK41)))</f>
        <v>***</v>
      </c>
      <c r="G41" s="31"/>
      <c r="H41" s="31"/>
      <c r="I41" s="82"/>
      <c r="J41" s="53"/>
      <c r="K41" s="645" t="str">
        <f>IF(P41&lt;=0,"***",IF(AI41="pipe",pipe(AH41,AK41,AN41,AO41,1),AN42+2*AO42))</f>
        <v>***</v>
      </c>
      <c r="L41" s="646"/>
      <c r="M41" s="57" t="str">
        <f>IF(P41&lt;=0,"***",IF(AI41="pipe",pipe(AH41,AK41,AN41,AO41,2),AO42))</f>
        <v>***</v>
      </c>
      <c r="N41" s="507">
        <v>300</v>
      </c>
      <c r="O41" s="507"/>
      <c r="P41" s="647">
        <f>AR41</f>
        <v>0</v>
      </c>
      <c r="Q41" s="648"/>
      <c r="R41" s="636">
        <f>IF(P41&lt;=0,0,PI()/4*(K41^2-(K41-2*M41)^2)*N41/10^9*P41*AD41*1000)</f>
        <v>0</v>
      </c>
      <c r="S41" s="637"/>
      <c r="T41" s="55">
        <v>1</v>
      </c>
      <c r="U41" s="566">
        <f aca="true" t="shared" si="12" ref="U41:U47">R41*T41</f>
        <v>0</v>
      </c>
      <c r="V41" s="567"/>
      <c r="W41" s="416">
        <f>IF(P41&lt;=0,0,IF(AI41="pipe",cost_pipe(AK41,$AF$31),IF(AI41="plate",cost_plate(AK41,M41,$AF$31),IF(AI41="forging",cost_forging(AK41,M41,$AF$31)))))</f>
        <v>0</v>
      </c>
      <c r="X41" s="417"/>
      <c r="Y41" s="418"/>
      <c r="Z41" s="419">
        <f>U41*W41</f>
        <v>0</v>
      </c>
      <c r="AA41" s="417"/>
      <c r="AB41" s="417"/>
      <c r="AC41" s="69"/>
      <c r="AD41" s="69">
        <f>mindex(AK41,-1)</f>
        <v>7.85</v>
      </c>
      <c r="AE41" s="69"/>
      <c r="AF41" s="69"/>
      <c r="AG41" s="69"/>
      <c r="AH41" s="81" t="str">
        <f>AH31</f>
        <v>ASTM</v>
      </c>
      <c r="AI41" s="184" t="str">
        <f>AI31</f>
        <v>pipe</v>
      </c>
      <c r="AJ41" s="69"/>
      <c r="AK41" s="69" t="str">
        <f>AK31</f>
        <v>A 106-B</v>
      </c>
      <c r="AL41" s="69"/>
      <c r="AM41" s="69"/>
      <c r="AN41" s="69" t="str">
        <f>data_file($AF$3,$AE$9,AY41,AZ41)</f>
        <v>24"</v>
      </c>
      <c r="AO41" s="30" t="str">
        <f>AO31</f>
        <v>Sch.40</v>
      </c>
      <c r="AP41" s="69"/>
      <c r="AQ41" s="69"/>
      <c r="AR41" s="69">
        <f>data_file($AF$3,$AE$9,BC41,BD41)</f>
        <v>0</v>
      </c>
      <c r="AS41" s="69"/>
      <c r="AT41" s="69"/>
      <c r="AU41" s="69"/>
      <c r="AV41" s="69"/>
      <c r="AW41" s="69"/>
      <c r="AX41" s="69"/>
      <c r="AY41" s="69">
        <f>BC41+1</f>
        <v>43</v>
      </c>
      <c r="AZ41" s="69">
        <f>BD41</f>
        <v>21</v>
      </c>
      <c r="BA41" s="69"/>
      <c r="BB41" s="69"/>
      <c r="BC41" s="79">
        <v>42</v>
      </c>
      <c r="BD41" s="79">
        <v>21</v>
      </c>
      <c r="BE41" s="2"/>
      <c r="BF41" s="2"/>
      <c r="BG41" s="2"/>
    </row>
    <row r="42" spans="1:59" ht="12.75" customHeight="1">
      <c r="A42" s="6" t="s">
        <v>415</v>
      </c>
      <c r="B42" s="6"/>
      <c r="C42" s="32" t="s">
        <v>446</v>
      </c>
      <c r="D42" s="32"/>
      <c r="E42" s="32"/>
      <c r="F42" s="58" t="str">
        <f>IF(P42&lt;=0,"***"," "&amp;$AH$13&amp;AK42)</f>
        <v>***</v>
      </c>
      <c r="G42" s="32"/>
      <c r="H42" s="32"/>
      <c r="I42" s="83"/>
      <c r="J42" s="59"/>
      <c r="K42" s="532" t="str">
        <f>IF(P42&lt;=0,"***",K41*2)</f>
        <v>***</v>
      </c>
      <c r="L42" s="533"/>
      <c r="M42" s="60" t="str">
        <f>IF(P42&lt;=0,"***",M31)</f>
        <v>***</v>
      </c>
      <c r="N42" s="536"/>
      <c r="O42" s="536"/>
      <c r="P42" s="423">
        <f>IF(P41&lt;=0,0,IF(AI41="forging",0,IF(K41&lt;50,0,P41)))</f>
        <v>0</v>
      </c>
      <c r="Q42" s="422"/>
      <c r="R42" s="564">
        <f>IF(P42&lt;=0,0,PI()/4*(K42^2-K41^2)*M42/10^9*P42*AD42*1000)</f>
        <v>0</v>
      </c>
      <c r="S42" s="565"/>
      <c r="T42" s="61">
        <v>1</v>
      </c>
      <c r="U42" s="542">
        <f t="shared" si="12"/>
        <v>0</v>
      </c>
      <c r="V42" s="543"/>
      <c r="W42" s="379">
        <f>IF(P42&lt;=0,0,cost_plate(AK42,M42,$AF$31))</f>
        <v>0</v>
      </c>
      <c r="X42" s="379"/>
      <c r="Y42" s="379"/>
      <c r="Z42" s="412">
        <f>U42*W42</f>
        <v>0</v>
      </c>
      <c r="AA42" s="379"/>
      <c r="AB42" s="379"/>
      <c r="AC42" s="2"/>
      <c r="AD42" s="2">
        <f>mindex(AK42,-1)</f>
        <v>7.85</v>
      </c>
      <c r="AE42" s="2"/>
      <c r="AF42" s="2"/>
      <c r="AG42" s="2"/>
      <c r="AH42" s="158" t="str">
        <f>AH20</f>
        <v>ASTM</v>
      </c>
      <c r="AI42" s="2" t="str">
        <f>AI20</f>
        <v>plate</v>
      </c>
      <c r="AJ42" s="2"/>
      <c r="AK42" s="2" t="str">
        <f>AK20</f>
        <v>A 516-70</v>
      </c>
      <c r="AL42" s="2"/>
      <c r="AM42" s="2"/>
      <c r="AN42" s="76">
        <v>600</v>
      </c>
      <c r="AO42" s="76">
        <v>15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 customHeight="1">
      <c r="A43" s="6" t="s">
        <v>72</v>
      </c>
      <c r="B43" s="6"/>
      <c r="C43" s="54" t="s">
        <v>447</v>
      </c>
      <c r="D43" s="54"/>
      <c r="E43" s="54"/>
      <c r="F43" s="121" t="str">
        <f>IF(P43&lt;=0,"***"," "&amp;$AH$13&amp;AK43)</f>
        <v>***</v>
      </c>
      <c r="G43" s="54"/>
      <c r="H43" s="54"/>
      <c r="I43" s="122"/>
      <c r="J43" s="123"/>
      <c r="K43" s="562" t="str">
        <f>IF(P43&lt;=0,"***",STD_flange(AN43,AO43,AG43,AN41,-1))</f>
        <v>***</v>
      </c>
      <c r="L43" s="563"/>
      <c r="M43" s="124" t="str">
        <f>IF(P43&lt;=0,"***",STD_flange(AN43,AO43,AG43,AN41,8))</f>
        <v>***</v>
      </c>
      <c r="N43" s="541" t="str">
        <f>IF(P43&lt;=0,"***",STD_flange(AN43,AO43,AG43,AN41,16)/7.85*AD43)</f>
        <v>***</v>
      </c>
      <c r="O43" s="541"/>
      <c r="P43" s="459">
        <f>IF(AF43="Flanged",P41,0)</f>
        <v>0</v>
      </c>
      <c r="Q43" s="434"/>
      <c r="R43" s="568">
        <f>IF(P43&lt;=0,0,N43*P43)</f>
        <v>0</v>
      </c>
      <c r="S43" s="569"/>
      <c r="T43" s="125">
        <v>1</v>
      </c>
      <c r="U43" s="550">
        <f t="shared" si="12"/>
        <v>0</v>
      </c>
      <c r="V43" s="551"/>
      <c r="W43" s="428">
        <f>IF(P43&lt;=0,0,cost_flange(AK43,AN41,AG43,$AF$31))</f>
        <v>0</v>
      </c>
      <c r="X43" s="407"/>
      <c r="Y43" s="429"/>
      <c r="Z43" s="430">
        <f>P43*W43</f>
        <v>0</v>
      </c>
      <c r="AA43" s="407"/>
      <c r="AB43" s="407"/>
      <c r="AC43" s="2"/>
      <c r="AD43" s="2">
        <f>mindex(AK43,-1)</f>
        <v>7.85</v>
      </c>
      <c r="AE43" s="2"/>
      <c r="AF43" s="183" t="s">
        <v>73</v>
      </c>
      <c r="AG43" s="2" t="str">
        <f>AP33</f>
        <v>150 lb</v>
      </c>
      <c r="AH43" s="158" t="str">
        <f>AH33</f>
        <v>ASTM</v>
      </c>
      <c r="AI43" s="2" t="str">
        <f>AI33</f>
        <v>forging</v>
      </c>
      <c r="AJ43" s="2"/>
      <c r="AK43" s="2" t="str">
        <f>AK33</f>
        <v>A 105</v>
      </c>
      <c r="AL43" s="2"/>
      <c r="AM43" s="2"/>
      <c r="AN43" s="158" t="str">
        <f>AN33</f>
        <v>ANSI</v>
      </c>
      <c r="AO43" s="2" t="str">
        <f>AO33</f>
        <v>WN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6" ht="12.75" customHeight="1">
      <c r="A44" s="6"/>
      <c r="B44" s="6"/>
      <c r="C44" s="32" t="str">
        <f>IF(AF43="Flanged","Blind Flange","Flat Cover")</f>
        <v>Blind Flange</v>
      </c>
      <c r="D44" s="32"/>
      <c r="E44" s="32"/>
      <c r="F44" s="58" t="str">
        <f>IF(P44&lt;=0,"***"," "&amp;$AH$13&amp;AK44)</f>
        <v>***</v>
      </c>
      <c r="G44" s="32"/>
      <c r="H44" s="89"/>
      <c r="I44" s="32"/>
      <c r="J44" s="59"/>
      <c r="K44" s="539" t="str">
        <f>IF(P44&lt;=0,"***",IF(AF43="Flanged",K43,K41))</f>
        <v>***</v>
      </c>
      <c r="L44" s="479"/>
      <c r="M44" s="60" t="str">
        <f>IF(P44&lt;=0,"***",IF(AF43="Flanged",M43,AO44))</f>
        <v>***</v>
      </c>
      <c r="N44" s="479" t="str">
        <f>IF(P44&lt;=0,"***",IF(AF43="Flanged",STD_flange(AN43,"Blind",AG43,AN41,16)/7.85*AD43,PI()/4*K44^2*M44/10^9*AD44*1000))</f>
        <v>***</v>
      </c>
      <c r="O44" s="479"/>
      <c r="P44" s="423">
        <f>IF(AF43="Flanged",P43,P41)</f>
        <v>0</v>
      </c>
      <c r="Q44" s="422"/>
      <c r="R44" s="568">
        <f>IF(P44&lt;=0,0,N44*P44)</f>
        <v>0</v>
      </c>
      <c r="S44" s="569"/>
      <c r="T44" s="61">
        <v>1</v>
      </c>
      <c r="U44" s="542">
        <f t="shared" si="12"/>
        <v>0</v>
      </c>
      <c r="V44" s="543"/>
      <c r="W44" s="379">
        <f>IF(P44&lt;=0,0,IF(AF43="Flanged",W43/N43*N44,cost_plate(AK44,M44,$AF$31)))</f>
        <v>0</v>
      </c>
      <c r="X44" s="379"/>
      <c r="Y44" s="379"/>
      <c r="Z44" s="412">
        <f>IF(AF43="Flanged",P44*W44,U44*W44)</f>
        <v>0</v>
      </c>
      <c r="AA44" s="379"/>
      <c r="AB44" s="379"/>
      <c r="AC44" s="2"/>
      <c r="AD44" s="2">
        <f>mindex(AK44,-1)</f>
        <v>7.85</v>
      </c>
      <c r="AE44" s="2"/>
      <c r="AF44" s="2"/>
      <c r="AG44" s="2"/>
      <c r="AH44" s="2"/>
      <c r="AI44" s="2"/>
      <c r="AJ44" s="2"/>
      <c r="AK44" s="2" t="str">
        <f>IF(AF43="Flanged",AK43,AK42)</f>
        <v>A 105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2.75" customHeight="1">
      <c r="A45" s="6"/>
      <c r="B45" s="6"/>
      <c r="C45" s="32" t="s">
        <v>392</v>
      </c>
      <c r="D45" s="32"/>
      <c r="E45" s="32"/>
      <c r="F45" s="58"/>
      <c r="G45" s="32"/>
      <c r="H45" s="89"/>
      <c r="I45" s="32"/>
      <c r="J45" s="59"/>
      <c r="K45" s="537"/>
      <c r="L45" s="538"/>
      <c r="M45" s="188"/>
      <c r="N45" s="536"/>
      <c r="O45" s="536"/>
      <c r="P45" s="423">
        <f>P41</f>
        <v>0</v>
      </c>
      <c r="Q45" s="422"/>
      <c r="R45" s="444"/>
      <c r="S45" s="544"/>
      <c r="T45" s="61">
        <v>1</v>
      </c>
      <c r="U45" s="542">
        <f t="shared" si="12"/>
        <v>0</v>
      </c>
      <c r="V45" s="543"/>
      <c r="W45" s="517">
        <f>IF(P45&lt;=0,0,cost_gasket(AN41,AG43))</f>
        <v>0</v>
      </c>
      <c r="X45" s="517"/>
      <c r="Y45" s="517"/>
      <c r="Z45" s="412">
        <f>P45*W45</f>
        <v>0</v>
      </c>
      <c r="AA45" s="379"/>
      <c r="AB45" s="379"/>
      <c r="AC45" s="2"/>
      <c r="AD45" s="2"/>
      <c r="AE45" s="2"/>
      <c r="AF45" s="145" t="s">
        <v>3</v>
      </c>
      <c r="AG45" s="145" t="s">
        <v>281</v>
      </c>
      <c r="AH45" s="145" t="s">
        <v>4</v>
      </c>
      <c r="AI45" s="145" t="s">
        <v>287</v>
      </c>
      <c r="AJ45" s="145" t="s">
        <v>6</v>
      </c>
      <c r="AK45" s="2"/>
      <c r="AL45" s="213" t="s">
        <v>21</v>
      </c>
      <c r="AM45" s="2"/>
      <c r="AN45" s="615" t="s">
        <v>16</v>
      </c>
      <c r="AO45" s="615"/>
      <c r="AP45" s="615"/>
      <c r="AQ45" s="615"/>
      <c r="AR45" s="615"/>
      <c r="AS45" s="615"/>
      <c r="AT45" s="615"/>
      <c r="AU45" s="615"/>
      <c r="AV45" s="615"/>
      <c r="AW45" s="615"/>
      <c r="AX45" s="2"/>
      <c r="AY45" s="2"/>
      <c r="AZ45" s="2"/>
      <c r="BA45" s="2"/>
      <c r="BB45" s="2"/>
      <c r="BC45" s="2"/>
      <c r="BD45" s="2"/>
    </row>
    <row r="46" spans="1:59" ht="12.75" customHeight="1">
      <c r="A46" s="6"/>
      <c r="B46" s="6"/>
      <c r="C46" s="54" t="s">
        <v>393</v>
      </c>
      <c r="D46" s="54"/>
      <c r="E46" s="54"/>
      <c r="F46" s="121"/>
      <c r="G46" s="54"/>
      <c r="H46" s="203"/>
      <c r="I46" s="54"/>
      <c r="J46" s="123"/>
      <c r="K46" s="572" t="str">
        <f>IF(P46&lt;=0,"***",AH46)</f>
        <v>***</v>
      </c>
      <c r="L46" s="573"/>
      <c r="M46" s="188"/>
      <c r="N46" s="558" t="str">
        <f>IF(P46&lt;=0,"***",AI46)</f>
        <v>***</v>
      </c>
      <c r="O46" s="559"/>
      <c r="P46" s="423">
        <f>IF(P44&lt;=0,0,P44*AG46)</f>
        <v>0</v>
      </c>
      <c r="Q46" s="422"/>
      <c r="R46" s="539">
        <f>IF(P46&lt;=0,0,PI()/4*K46^2*N46/10^9*P46*AD46*1000)</f>
        <v>0</v>
      </c>
      <c r="S46" s="554"/>
      <c r="T46" s="61">
        <v>1</v>
      </c>
      <c r="U46" s="412">
        <f t="shared" si="12"/>
        <v>0</v>
      </c>
      <c r="V46" s="540"/>
      <c r="W46" s="516">
        <f>IF(P46&lt;=0,0,cost_plate(AK46,AH46,"")*AL46)</f>
        <v>0</v>
      </c>
      <c r="X46" s="517"/>
      <c r="Y46" s="518"/>
      <c r="Z46" s="430">
        <f>U46*W46</f>
        <v>0</v>
      </c>
      <c r="AA46" s="407"/>
      <c r="AB46" s="407"/>
      <c r="AC46" s="2"/>
      <c r="AD46" s="2">
        <f>mindex(AK46,-1)</f>
        <v>7.85</v>
      </c>
      <c r="AE46" s="2"/>
      <c r="AF46" s="183" t="str">
        <f>STD_flange(AN43,AO43,AG43,AN41,0)</f>
        <v>1 1/4"</v>
      </c>
      <c r="AG46" s="2">
        <f>STD_flange(AN43,AO43,AG43,AN41,2)</f>
        <v>20</v>
      </c>
      <c r="AH46" s="2">
        <f>STD_flange(AN43,AO43,AG43,AN41,1)</f>
        <v>31.75</v>
      </c>
      <c r="AI46" s="2" t="str">
        <f>IF(P46&lt;=0,"***",M43+M44+(AJ46+5)*2)</f>
        <v>***</v>
      </c>
      <c r="AJ46" s="2">
        <f>AH46</f>
        <v>31.75</v>
      </c>
      <c r="AK46" s="2" t="str">
        <f>AK44</f>
        <v>A 105</v>
      </c>
      <c r="AL46" s="105">
        <v>5</v>
      </c>
      <c r="AM46" s="2"/>
      <c r="AN46" s="199" t="s">
        <v>10</v>
      </c>
      <c r="AO46" s="217" t="s">
        <v>11</v>
      </c>
      <c r="AP46" s="199" t="s">
        <v>12</v>
      </c>
      <c r="AQ46" s="217" t="s">
        <v>17</v>
      </c>
      <c r="AR46" s="199" t="s">
        <v>13</v>
      </c>
      <c r="AS46" s="217" t="s">
        <v>18</v>
      </c>
      <c r="AT46" s="199" t="s">
        <v>14</v>
      </c>
      <c r="AU46" s="217" t="s">
        <v>19</v>
      </c>
      <c r="AV46" s="199" t="s">
        <v>15</v>
      </c>
      <c r="AW46" s="217" t="s">
        <v>20</v>
      </c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6" ht="12.75" customHeight="1">
      <c r="A47" s="7"/>
      <c r="B47" s="7"/>
      <c r="C47" s="33" t="s">
        <v>7</v>
      </c>
      <c r="D47" s="33"/>
      <c r="E47" s="48" t="str">
        <f>IF(P47&lt;=0,"***",AF47)</f>
        <v>***</v>
      </c>
      <c r="F47" s="133"/>
      <c r="G47" s="33"/>
      <c r="H47" s="148"/>
      <c r="I47" s="33"/>
      <c r="J47" s="134"/>
      <c r="K47" s="545" t="str">
        <f>IF(P47&lt;=0,"***",pipe("ASTM",AK47,AF47,AG47,1))</f>
        <v>***</v>
      </c>
      <c r="L47" s="500"/>
      <c r="M47" s="135" t="str">
        <f>IF(P47&lt;=0,"***",pipe("ASTM",AK47,AF47,AG47,2))</f>
        <v>***</v>
      </c>
      <c r="N47" s="406" t="str">
        <f>IF(P47&lt;=0,"***",AI47)</f>
        <v>***</v>
      </c>
      <c r="O47" s="406"/>
      <c r="P47" s="557">
        <f>P41</f>
        <v>0</v>
      </c>
      <c r="Q47" s="449"/>
      <c r="R47" s="578">
        <f>IF(P47&lt;=0,0,PI()/4*(K47^2-(K47-2*M47)^2)*N47/10^9*P47*AD47*1000)</f>
        <v>0</v>
      </c>
      <c r="S47" s="579"/>
      <c r="T47" s="136">
        <v>1</v>
      </c>
      <c r="U47" s="585">
        <f t="shared" si="12"/>
        <v>0</v>
      </c>
      <c r="V47" s="586"/>
      <c r="W47" s="680">
        <f>IF(P47&lt;=0,0,IF(OR(AN41=AN46,AN41=AO46),AN47,IF(OR(AN41=AP46,AN41=AQ46),AP47,IF(OR(AN41=AR46,AN41=AS46),AR47,IF(OR(AN41=AT46,AN41=AU46),AT47,IF(OR(AN41=AV46,AN41=AW46),AV47))))))</f>
        <v>0</v>
      </c>
      <c r="X47" s="680"/>
      <c r="Y47" s="680"/>
      <c r="Z47" s="415">
        <f>P47*W47</f>
        <v>0</v>
      </c>
      <c r="AA47" s="406"/>
      <c r="AB47" s="406"/>
      <c r="AC47" s="137"/>
      <c r="AD47" s="137">
        <f>mindex(AK47,-1)</f>
        <v>7.85</v>
      </c>
      <c r="AE47" s="137"/>
      <c r="AF47" s="137" t="str">
        <f>mhdavit(AG43,AN41,3)</f>
        <v>2"</v>
      </c>
      <c r="AG47" s="137" t="str">
        <f>mhdavit(AG43,AN41,4)</f>
        <v>Sch.80</v>
      </c>
      <c r="AH47" s="137"/>
      <c r="AI47" s="715">
        <f>mhdavit(AG43,AN41,1)+mhdavit(AG43,AN41,2)</f>
        <v>1140</v>
      </c>
      <c r="AJ47" s="715"/>
      <c r="AK47" s="137" t="str">
        <f>AK41</f>
        <v>A 106-B</v>
      </c>
      <c r="AL47" s="137"/>
      <c r="AM47" s="137"/>
      <c r="AN47" s="716">
        <v>400000</v>
      </c>
      <c r="AO47" s="716"/>
      <c r="AP47" s="716">
        <v>450000</v>
      </c>
      <c r="AQ47" s="716"/>
      <c r="AR47" s="716">
        <v>500000</v>
      </c>
      <c r="AS47" s="716"/>
      <c r="AT47" s="716">
        <v>550000</v>
      </c>
      <c r="AU47" s="716"/>
      <c r="AV47" s="716">
        <v>600000</v>
      </c>
      <c r="AW47" s="716"/>
      <c r="AX47" s="137"/>
      <c r="AY47" s="137"/>
      <c r="AZ47" s="137"/>
      <c r="BA47" s="137"/>
      <c r="BB47" s="137"/>
      <c r="BC47" s="137"/>
      <c r="BD47" s="137"/>
    </row>
    <row r="48" spans="1:59" ht="12.75" customHeight="1">
      <c r="A48" s="211" t="str">
        <f>" "&amp;AF49</f>
        <v> Saddle</v>
      </c>
      <c r="B48" s="31"/>
      <c r="C48" s="31"/>
      <c r="D48" s="31"/>
      <c r="E48" s="31"/>
      <c r="F48" s="52"/>
      <c r="G48" s="31"/>
      <c r="H48" s="31"/>
      <c r="I48" s="82"/>
      <c r="J48" s="82"/>
      <c r="K48" s="190" t="s">
        <v>451</v>
      </c>
      <c r="L48" s="82"/>
      <c r="M48" s="82"/>
      <c r="N48" s="82"/>
      <c r="O48" s="82"/>
      <c r="P48" s="82"/>
      <c r="Q48" s="82"/>
      <c r="R48" s="636"/>
      <c r="S48" s="637"/>
      <c r="T48" s="55"/>
      <c r="U48" s="566"/>
      <c r="V48" s="567"/>
      <c r="W48" s="507"/>
      <c r="X48" s="507"/>
      <c r="Y48" s="507"/>
      <c r="Z48" s="419"/>
      <c r="AA48" s="417"/>
      <c r="AB48" s="417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189" t="s">
        <v>450</v>
      </c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 customHeight="1">
      <c r="A49" s="32"/>
      <c r="B49" s="54" t="s">
        <v>396</v>
      </c>
      <c r="C49" s="32"/>
      <c r="D49" s="32"/>
      <c r="E49" s="32"/>
      <c r="F49" s="58"/>
      <c r="G49" s="32"/>
      <c r="H49" s="32"/>
      <c r="I49" s="83"/>
      <c r="J49" s="59"/>
      <c r="K49" s="638">
        <f>AN49</f>
        <v>600</v>
      </c>
      <c r="L49" s="612"/>
      <c r="M49" s="60">
        <f>supporthe(AF49,K20,M20,"Horizontal",K49,3)</f>
        <v>9</v>
      </c>
      <c r="N49" s="379"/>
      <c r="O49" s="379"/>
      <c r="P49" s="423">
        <v>2</v>
      </c>
      <c r="Q49" s="422"/>
      <c r="R49" s="564">
        <f>supporthe(AF49,K20,M20,"Horizontal",K49,4)*P49*AD49</f>
        <v>42.69135741809515</v>
      </c>
      <c r="S49" s="565"/>
      <c r="T49" s="61">
        <v>1</v>
      </c>
      <c r="U49" s="542">
        <f aca="true" t="shared" si="13" ref="U49:U58">R49*T49</f>
        <v>42.69135741809515</v>
      </c>
      <c r="V49" s="543"/>
      <c r="W49" s="378">
        <f>cost_plate(AK49,M49,"")</f>
        <v>1000</v>
      </c>
      <c r="X49" s="379"/>
      <c r="Y49" s="380"/>
      <c r="Z49" s="412">
        <f aca="true" t="shared" si="14" ref="Z49:Z58">U49*W49</f>
        <v>42691.357418095155</v>
      </c>
      <c r="AA49" s="379"/>
      <c r="AB49" s="379"/>
      <c r="AC49" s="2"/>
      <c r="AD49" s="2">
        <f t="shared" si="9"/>
        <v>7.85</v>
      </c>
      <c r="AE49" s="2"/>
      <c r="AF49" s="76" t="s">
        <v>376</v>
      </c>
      <c r="AG49" s="2"/>
      <c r="AH49" s="158" t="str">
        <f>data_file($AF$3,$AE$9,AS49,AT49)</f>
        <v>ASTM</v>
      </c>
      <c r="AI49" s="2" t="s">
        <v>365</v>
      </c>
      <c r="AK49" s="2" t="str">
        <f>data_file($AF$3,$AE$9,AW49,AX49)</f>
        <v>A 283-C</v>
      </c>
      <c r="AL49" s="2"/>
      <c r="AM49" s="2"/>
      <c r="AN49" s="2">
        <f>data_file($AF$3,$AE$9,AO49,AP49)</f>
        <v>600</v>
      </c>
      <c r="AO49" s="76">
        <v>22</v>
      </c>
      <c r="AP49" s="76">
        <v>11</v>
      </c>
      <c r="AQ49" s="2"/>
      <c r="AR49" s="2"/>
      <c r="AS49" s="76">
        <v>44</v>
      </c>
      <c r="AT49" s="76">
        <v>34</v>
      </c>
      <c r="AU49" s="2"/>
      <c r="AV49" s="2"/>
      <c r="AW49" s="2">
        <f>AS49+1</f>
        <v>45</v>
      </c>
      <c r="AX49" s="2">
        <f>AT49</f>
        <v>34</v>
      </c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 customHeight="1">
      <c r="A50" s="32"/>
      <c r="B50" s="54" t="s">
        <v>373</v>
      </c>
      <c r="C50" s="32"/>
      <c r="D50" s="32"/>
      <c r="E50" s="32"/>
      <c r="F50" s="58"/>
      <c r="G50" s="32"/>
      <c r="H50" s="32"/>
      <c r="I50" s="83"/>
      <c r="J50" s="59"/>
      <c r="K50" s="600"/>
      <c r="L50" s="601"/>
      <c r="M50" s="60">
        <f>supporthe(AF49,K20,M20,"Horizontal",K49,9)</f>
        <v>9</v>
      </c>
      <c r="N50" s="379"/>
      <c r="O50" s="379"/>
      <c r="P50" s="423">
        <f>supporthe(AF49,K20,M20,"Horizontal",K49,6)*P49</f>
        <v>0</v>
      </c>
      <c r="Q50" s="422"/>
      <c r="R50" s="564">
        <f>supporthe(AF49,K20,M20,"Horizontal",K49,10)*P50*AD50</f>
        <v>0</v>
      </c>
      <c r="S50" s="565"/>
      <c r="T50" s="61">
        <v>1</v>
      </c>
      <c r="U50" s="542">
        <f t="shared" si="13"/>
        <v>0</v>
      </c>
      <c r="V50" s="543"/>
      <c r="W50" s="378">
        <f>cost_plate(AK50,M50,"")</f>
        <v>1000</v>
      </c>
      <c r="X50" s="379"/>
      <c r="Y50" s="380"/>
      <c r="Z50" s="412">
        <f t="shared" si="14"/>
        <v>0</v>
      </c>
      <c r="AA50" s="379"/>
      <c r="AB50" s="379"/>
      <c r="AC50" s="2"/>
      <c r="AD50" s="2">
        <f t="shared" si="9"/>
        <v>7.85</v>
      </c>
      <c r="AE50" s="2"/>
      <c r="AF50" s="2"/>
      <c r="AG50" s="2"/>
      <c r="AH50" s="2"/>
      <c r="AI50" s="2"/>
      <c r="AJ50" s="2"/>
      <c r="AK50" s="2" t="str">
        <f>AK49</f>
        <v>A 283-C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 customHeight="1">
      <c r="A51" s="32"/>
      <c r="B51" s="54" t="s">
        <v>374</v>
      </c>
      <c r="C51" s="32"/>
      <c r="D51" s="32"/>
      <c r="E51" s="32"/>
      <c r="F51" s="58"/>
      <c r="G51" s="32"/>
      <c r="H51" s="32"/>
      <c r="I51" s="83"/>
      <c r="J51" s="59"/>
      <c r="K51" s="600"/>
      <c r="L51" s="601"/>
      <c r="M51" s="60">
        <f>supporthe(AF49,K20,M20,"Horizontal",K49,23)</f>
        <v>12</v>
      </c>
      <c r="N51" s="379"/>
      <c r="O51" s="379"/>
      <c r="P51" s="423">
        <f>P49</f>
        <v>2</v>
      </c>
      <c r="Q51" s="422"/>
      <c r="R51" s="564">
        <f>supporthe(AF49,K20,M20,"Horizontal",K49,24)*P51*AD51</f>
        <v>13.715519999999998</v>
      </c>
      <c r="S51" s="565"/>
      <c r="T51" s="61">
        <v>1</v>
      </c>
      <c r="U51" s="542">
        <f t="shared" si="13"/>
        <v>13.715519999999998</v>
      </c>
      <c r="V51" s="543"/>
      <c r="W51" s="378">
        <f>cost_plate(AK51,M51,"")</f>
        <v>1000</v>
      </c>
      <c r="X51" s="379"/>
      <c r="Y51" s="380"/>
      <c r="Z51" s="412">
        <f t="shared" si="14"/>
        <v>13715.519999999999</v>
      </c>
      <c r="AA51" s="379"/>
      <c r="AB51" s="379"/>
      <c r="AC51" s="2"/>
      <c r="AD51" s="2">
        <f t="shared" si="9"/>
        <v>7.85</v>
      </c>
      <c r="AE51" s="2"/>
      <c r="AF51" s="2"/>
      <c r="AG51" s="2"/>
      <c r="AH51" s="2"/>
      <c r="AI51" s="2"/>
      <c r="AJ51" s="2"/>
      <c r="AK51" s="2" t="str">
        <f>AK49</f>
        <v>A 283-C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 customHeight="1">
      <c r="A52" s="32"/>
      <c r="B52" s="54" t="s">
        <v>375</v>
      </c>
      <c r="C52" s="32"/>
      <c r="D52" s="32"/>
      <c r="E52" s="32"/>
      <c r="F52" s="58"/>
      <c r="G52" s="32"/>
      <c r="H52" s="32"/>
      <c r="I52" s="83"/>
      <c r="J52" s="59"/>
      <c r="K52" s="595">
        <f>supporthe(AF49,K20,M20,"Horizontal",K49,11)</f>
        <v>250</v>
      </c>
      <c r="L52" s="596"/>
      <c r="M52" s="60">
        <f>supporthe(AF49,K20,M20,"Horizontal",K49,13)</f>
        <v>9</v>
      </c>
      <c r="N52" s="379">
        <f>supporthe(AF49,K20,M20,"Horizontal",K49,12)</f>
        <v>713.45072</v>
      </c>
      <c r="O52" s="379"/>
      <c r="P52" s="423">
        <f>P49</f>
        <v>2</v>
      </c>
      <c r="Q52" s="422"/>
      <c r="R52" s="564">
        <f>supporthe(AF49,K20,M20,"Horizontal",K49,14)*P52*AD52</f>
        <v>25.202646684</v>
      </c>
      <c r="S52" s="565"/>
      <c r="T52" s="61">
        <v>1</v>
      </c>
      <c r="U52" s="542">
        <f t="shared" si="13"/>
        <v>25.202646684</v>
      </c>
      <c r="V52" s="543"/>
      <c r="W52" s="378">
        <f>cost_plate(AK52,M52,$AF$20)</f>
        <v>1000</v>
      </c>
      <c r="X52" s="379"/>
      <c r="Y52" s="380"/>
      <c r="Z52" s="412">
        <f t="shared" si="14"/>
        <v>25202.646684</v>
      </c>
      <c r="AA52" s="379"/>
      <c r="AB52" s="379"/>
      <c r="AC52" s="2"/>
      <c r="AD52" s="2">
        <f t="shared" si="9"/>
        <v>7.85</v>
      </c>
      <c r="AE52" s="2"/>
      <c r="AF52" s="2"/>
      <c r="AG52" s="2"/>
      <c r="AH52" s="2"/>
      <c r="AI52" s="2"/>
      <c r="AJ52" s="2"/>
      <c r="AK52" s="2" t="str">
        <f>AK20</f>
        <v>A 516-70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 customHeight="1">
      <c r="A53" s="33"/>
      <c r="B53" s="33" t="s">
        <v>377</v>
      </c>
      <c r="C53" s="33"/>
      <c r="D53" s="33"/>
      <c r="E53" s="33"/>
      <c r="F53" s="133"/>
      <c r="G53" s="33"/>
      <c r="H53" s="33"/>
      <c r="I53" s="84"/>
      <c r="J53" s="134"/>
      <c r="K53" s="574"/>
      <c r="L53" s="575"/>
      <c r="M53" s="135"/>
      <c r="N53" s="406"/>
      <c r="O53" s="406"/>
      <c r="P53" s="557"/>
      <c r="Q53" s="449"/>
      <c r="R53" s="578"/>
      <c r="S53" s="579"/>
      <c r="T53" s="136">
        <v>1</v>
      </c>
      <c r="U53" s="585">
        <f t="shared" si="13"/>
        <v>0</v>
      </c>
      <c r="V53" s="586"/>
      <c r="W53" s="404"/>
      <c r="X53" s="404"/>
      <c r="Y53" s="404"/>
      <c r="Z53" s="415">
        <f t="shared" si="14"/>
        <v>0</v>
      </c>
      <c r="AA53" s="406"/>
      <c r="AB53" s="40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 customHeight="1">
      <c r="A54" s="46" t="s">
        <v>69</v>
      </c>
      <c r="B54" s="32"/>
      <c r="C54" s="32"/>
      <c r="D54" s="32"/>
      <c r="E54" s="32"/>
      <c r="F54" s="58"/>
      <c r="G54" s="32"/>
      <c r="H54" s="32"/>
      <c r="I54" s="83"/>
      <c r="J54" s="59"/>
      <c r="K54" s="532"/>
      <c r="L54" s="533"/>
      <c r="M54" s="60"/>
      <c r="N54" s="379"/>
      <c r="O54" s="379"/>
      <c r="P54" s="423"/>
      <c r="Q54" s="422"/>
      <c r="R54" s="564"/>
      <c r="S54" s="565"/>
      <c r="T54" s="61">
        <v>1</v>
      </c>
      <c r="U54" s="542">
        <f t="shared" si="13"/>
        <v>0</v>
      </c>
      <c r="V54" s="543"/>
      <c r="W54" s="382"/>
      <c r="X54" s="382"/>
      <c r="Y54" s="382"/>
      <c r="Z54" s="412">
        <f t="shared" si="14"/>
        <v>0</v>
      </c>
      <c r="AA54" s="379"/>
      <c r="AB54" s="37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 customHeight="1">
      <c r="A55" s="54"/>
      <c r="B55" s="54" t="s">
        <v>375</v>
      </c>
      <c r="C55" s="54"/>
      <c r="D55" s="54"/>
      <c r="E55" s="54"/>
      <c r="F55" s="121"/>
      <c r="G55" s="54"/>
      <c r="H55" s="54"/>
      <c r="I55" s="122"/>
      <c r="J55" s="123"/>
      <c r="K55" s="562"/>
      <c r="L55" s="563"/>
      <c r="M55" s="124"/>
      <c r="N55" s="407"/>
      <c r="O55" s="407"/>
      <c r="P55" s="459"/>
      <c r="Q55" s="434"/>
      <c r="R55" s="568"/>
      <c r="S55" s="569"/>
      <c r="T55" s="125">
        <v>1</v>
      </c>
      <c r="U55" s="550">
        <f t="shared" si="13"/>
        <v>0</v>
      </c>
      <c r="V55" s="551"/>
      <c r="W55" s="378">
        <f>cost_plate(AK55,M55,$AF$20)</f>
        <v>1000</v>
      </c>
      <c r="X55" s="379"/>
      <c r="Y55" s="380"/>
      <c r="Z55" s="430">
        <f t="shared" si="14"/>
        <v>0</v>
      </c>
      <c r="AA55" s="407"/>
      <c r="AB55" s="407"/>
      <c r="AC55" s="2"/>
      <c r="AD55" s="2"/>
      <c r="AE55" s="2"/>
      <c r="AF55" s="2"/>
      <c r="AG55" s="2"/>
      <c r="AH55" s="2"/>
      <c r="AI55" s="2"/>
      <c r="AJ55" s="2"/>
      <c r="AK55" s="2" t="str">
        <f>AK52</f>
        <v>A 516-70</v>
      </c>
      <c r="AL55" s="2"/>
      <c r="AM55" s="509" t="s">
        <v>464</v>
      </c>
      <c r="AN55" s="51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 customHeight="1">
      <c r="A56" s="195" t="s">
        <v>478</v>
      </c>
      <c r="B56" s="69"/>
      <c r="C56" s="69"/>
      <c r="D56" s="69"/>
      <c r="E56" s="69"/>
      <c r="F56" s="70" t="str">
        <f>IF(P56&lt;=0,"***"," "&amp;AK56)</f>
        <v>***</v>
      </c>
      <c r="G56" s="69"/>
      <c r="H56" s="69"/>
      <c r="I56" s="30"/>
      <c r="J56" s="214" t="s">
        <v>1</v>
      </c>
      <c r="K56" s="645" t="str">
        <f>IF(P56&lt;=0,"***",AG56)</f>
        <v>***</v>
      </c>
      <c r="L56" s="707"/>
      <c r="M56" s="72" t="str">
        <f>IF(P56&lt;=0,"***",AO56)</f>
        <v>***</v>
      </c>
      <c r="N56" s="599"/>
      <c r="O56" s="599"/>
      <c r="P56" s="597">
        <f>IF(AQ56&lt;&gt;"Provided",0,1)</f>
        <v>0</v>
      </c>
      <c r="Q56" s="598"/>
      <c r="R56" s="629">
        <f>IF(P56&lt;=0,0,K56*M56/1000*P56*AD56)</f>
        <v>0</v>
      </c>
      <c r="S56" s="630"/>
      <c r="T56" s="73">
        <v>1</v>
      </c>
      <c r="U56" s="589">
        <f t="shared" si="13"/>
        <v>0</v>
      </c>
      <c r="V56" s="590"/>
      <c r="W56" s="583"/>
      <c r="X56" s="583"/>
      <c r="Y56" s="583"/>
      <c r="Z56" s="580">
        <f t="shared" si="14"/>
        <v>0</v>
      </c>
      <c r="AA56" s="617"/>
      <c r="AB56" s="617"/>
      <c r="AC56" s="69"/>
      <c r="AD56" s="69">
        <f>data_file($AF$3,$AM$3,AY56,AZ56)</f>
        <v>80</v>
      </c>
      <c r="AE56" s="69" t="s">
        <v>379</v>
      </c>
      <c r="AF56" s="69"/>
      <c r="AG56" s="69">
        <f>data_file($AF$3,$AE$9,AI56,AJ56)</f>
        <v>11.370052131872178</v>
      </c>
      <c r="AH56" s="69" t="s">
        <v>381</v>
      </c>
      <c r="AI56" s="79">
        <v>20</v>
      </c>
      <c r="AJ56" s="79">
        <v>34</v>
      </c>
      <c r="AK56" s="69" t="str">
        <f>data_file($AF$3,$AM$3,AS56,AT56)</f>
        <v>Mineral Wool</v>
      </c>
      <c r="AL56" s="69"/>
      <c r="AM56" s="511">
        <v>2500</v>
      </c>
      <c r="AN56" s="511"/>
      <c r="AO56" s="69" t="str">
        <f>data_file($AF$3,$AM$3,AU56,AV56)</f>
        <v>- N/A -</v>
      </c>
      <c r="AP56" s="69" t="s">
        <v>380</v>
      </c>
      <c r="AQ56" s="184" t="str">
        <f>IF(data_file($AF$3,$AM$3,AW56,AX56)="???","- N/A -",data_file($AF$3,$AM$3,AW56,AX56))</f>
        <v>- N/A -</v>
      </c>
      <c r="AR56" s="69"/>
      <c r="AS56" s="79">
        <v>65</v>
      </c>
      <c r="AT56" s="79">
        <v>26</v>
      </c>
      <c r="AU56" s="79">
        <v>54</v>
      </c>
      <c r="AV56" s="79">
        <v>8</v>
      </c>
      <c r="AW56" s="69">
        <f>AS56+2</f>
        <v>67</v>
      </c>
      <c r="AX56" s="69">
        <f>AT56+1</f>
        <v>27</v>
      </c>
      <c r="AY56" s="69">
        <f>AS56</f>
        <v>65</v>
      </c>
      <c r="AZ56" s="79">
        <v>34</v>
      </c>
      <c r="BE56" s="2"/>
      <c r="BF56" s="2"/>
      <c r="BG56" s="2"/>
    </row>
    <row r="57" spans="1:52" ht="12.75" customHeight="1">
      <c r="A57" s="32"/>
      <c r="B57" s="32" t="s">
        <v>463</v>
      </c>
      <c r="C57" s="32"/>
      <c r="D57" s="32"/>
      <c r="E57" s="32"/>
      <c r="F57" s="121" t="str">
        <f>IF(P57&lt;=0,"***"," "&amp;AK57)</f>
        <v>***</v>
      </c>
      <c r="G57" s="54"/>
      <c r="H57" s="54"/>
      <c r="I57" s="122"/>
      <c r="J57" s="159" t="str">
        <f>J56</f>
        <v>m2 &gt;</v>
      </c>
      <c r="K57" s="562" t="str">
        <f>IF(P57&lt;=0,"***",AG57)</f>
        <v>***</v>
      </c>
      <c r="L57" s="563"/>
      <c r="M57" s="124" t="str">
        <f>IF(P57&lt;=0,"***",AO57)</f>
        <v>***</v>
      </c>
      <c r="N57" s="561"/>
      <c r="O57" s="561"/>
      <c r="P57" s="459">
        <f>P56</f>
        <v>0</v>
      </c>
      <c r="Q57" s="434"/>
      <c r="R57" s="568">
        <f>IF(P57&lt;=0,0,K57*M57/1000*P57*AD57*1000)</f>
        <v>0</v>
      </c>
      <c r="S57" s="569"/>
      <c r="T57" s="125">
        <v>1</v>
      </c>
      <c r="U57" s="550">
        <f t="shared" si="13"/>
        <v>0</v>
      </c>
      <c r="V57" s="551"/>
      <c r="W57" s="552">
        <f>IF(P57&lt;=0,0,IF(AK57="Al",2700,IF(AK57="304 SS",3000,IF(AK57="316 SS",4500,IF(AK57="C.S.",W58)))))</f>
        <v>0</v>
      </c>
      <c r="X57" s="552"/>
      <c r="Y57" s="552"/>
      <c r="Z57" s="430">
        <f t="shared" si="14"/>
        <v>0</v>
      </c>
      <c r="AA57" s="407"/>
      <c r="AB57" s="407"/>
      <c r="AC57" s="2"/>
      <c r="AD57" s="149">
        <f>IF(AK57="Al",2.7,IF(AK57="304 SS",7.93,IF(AK57="316 SS",7.93,IF(AK57="C.S.",7.85))))</f>
        <v>2.7</v>
      </c>
      <c r="AE57" s="2"/>
      <c r="AF57" s="2"/>
      <c r="AG57" s="2">
        <f>AG56</f>
        <v>11.370052131872178</v>
      </c>
      <c r="AH57" s="2" t="s">
        <v>443</v>
      </c>
      <c r="AI57" s="2"/>
      <c r="AJ57" s="2"/>
      <c r="AK57" s="2" t="str">
        <f>data_file($AF$3,$AM$3,AS57,AT57)</f>
        <v>Al</v>
      </c>
      <c r="AL57" s="2"/>
      <c r="AM57" s="2"/>
      <c r="AN57" s="2"/>
      <c r="AO57" s="2">
        <f>data_file($AF$3,$AM$3,AU57,AV57)</f>
        <v>0.8</v>
      </c>
      <c r="AP57" s="2" t="s">
        <v>444</v>
      </c>
      <c r="AQ57" s="149" t="str">
        <f>AQ56</f>
        <v>- N/A -</v>
      </c>
      <c r="AR57" s="2"/>
      <c r="AS57" s="2">
        <f>AS56+1</f>
        <v>66</v>
      </c>
      <c r="AT57" s="2">
        <f>AT56</f>
        <v>26</v>
      </c>
      <c r="AU57" s="2">
        <f>AS57</f>
        <v>66</v>
      </c>
      <c r="AV57" s="2">
        <f>AT57+4</f>
        <v>30</v>
      </c>
      <c r="AW57" s="2"/>
      <c r="AX57" s="2"/>
      <c r="AY57" s="2"/>
      <c r="AZ57" s="2"/>
    </row>
    <row r="58" spans="1:59" ht="12.75" customHeight="1">
      <c r="A58" s="33"/>
      <c r="B58" s="33" t="s">
        <v>399</v>
      </c>
      <c r="C58" s="33"/>
      <c r="D58" s="33"/>
      <c r="E58" s="33"/>
      <c r="F58" s="133"/>
      <c r="G58" s="33"/>
      <c r="H58" s="33"/>
      <c r="I58" s="84"/>
      <c r="J58" s="134"/>
      <c r="K58" s="574"/>
      <c r="L58" s="575"/>
      <c r="M58" s="135"/>
      <c r="N58" s="406"/>
      <c r="O58" s="406"/>
      <c r="P58" s="557"/>
      <c r="Q58" s="449"/>
      <c r="R58" s="578"/>
      <c r="S58" s="579"/>
      <c r="T58" s="136">
        <v>1</v>
      </c>
      <c r="U58" s="585">
        <f t="shared" si="13"/>
        <v>0</v>
      </c>
      <c r="V58" s="586"/>
      <c r="W58" s="413">
        <f>cost_plate(AK58,M58,"")</f>
        <v>1000</v>
      </c>
      <c r="X58" s="406"/>
      <c r="Y58" s="414"/>
      <c r="Z58" s="415">
        <f t="shared" si="14"/>
        <v>0</v>
      </c>
      <c r="AA58" s="406"/>
      <c r="AB58" s="406"/>
      <c r="AC58" s="137"/>
      <c r="AD58" s="137"/>
      <c r="AE58" s="137"/>
      <c r="AF58" s="137"/>
      <c r="AG58" s="137"/>
      <c r="AH58" s="137"/>
      <c r="AI58" s="137"/>
      <c r="AJ58" s="137"/>
      <c r="AK58" s="137" t="str">
        <f>AK49</f>
        <v>A 283-C</v>
      </c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2"/>
      <c r="BB58" s="2"/>
      <c r="BC58" s="2"/>
      <c r="BD58" s="2"/>
      <c r="BE58" s="2"/>
      <c r="BF58" s="2"/>
      <c r="BG58" s="2"/>
    </row>
    <row r="59" spans="1:30" ht="12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90"/>
      <c r="N59" s="85"/>
      <c r="O59" s="529" t="s">
        <v>316</v>
      </c>
      <c r="P59" s="530"/>
      <c r="Q59" s="478">
        <f>SUM(R14:S18)+SUM(R20:S58)</f>
        <v>3672.482766815509</v>
      </c>
      <c r="R59" s="478"/>
      <c r="S59" s="478"/>
      <c r="T59" s="478">
        <f>SUM(U14:V18)+SUM(U20:V58)</f>
        <v>3672.482766815509</v>
      </c>
      <c r="U59" s="478"/>
      <c r="V59" s="478"/>
      <c r="W59" s="85"/>
      <c r="X59" s="529" t="s">
        <v>315</v>
      </c>
      <c r="Y59" s="530"/>
      <c r="Z59" s="661">
        <f>SUM(Z14:AB18)+SUM(Z20:AB58)</f>
        <v>9970862.22163161</v>
      </c>
      <c r="AA59" s="661"/>
      <c r="AB59" s="661"/>
      <c r="AC59" s="5"/>
      <c r="AD59" s="2"/>
    </row>
    <row r="60" spans="1:38" ht="12.75" customHeight="1">
      <c r="A60" s="2" t="str">
        <f>cosymbol</f>
        <v> NTES</v>
      </c>
      <c r="AB60" s="8" t="str">
        <f>coname</f>
        <v>Narai Thermal Engineering Services </v>
      </c>
      <c r="AC60" s="2"/>
      <c r="AD60" s="76" t="str">
        <f>data_file($AF$3,$AM$3,AJ60,AK60)</f>
        <v> NTES</v>
      </c>
      <c r="AF60" s="67" t="str">
        <f>data_file($AF$3,$AM$3,AJ60,AL60)</f>
        <v>Narai Thermal Engineering Services </v>
      </c>
      <c r="AJ60" s="67">
        <v>63</v>
      </c>
      <c r="AK60" s="67">
        <v>2</v>
      </c>
      <c r="AL60" s="67">
        <v>21</v>
      </c>
    </row>
    <row r="61" spans="1:42" ht="12.75" customHeight="1">
      <c r="A61" s="372" t="s">
        <v>238</v>
      </c>
      <c r="B61" s="372"/>
      <c r="C61" s="372"/>
      <c r="D61" s="372"/>
      <c r="E61" s="372"/>
      <c r="F61" s="374" t="s">
        <v>279</v>
      </c>
      <c r="G61" s="372"/>
      <c r="H61" s="372"/>
      <c r="I61" s="372"/>
      <c r="J61" s="375"/>
      <c r="K61" s="318" t="s">
        <v>280</v>
      </c>
      <c r="L61" s="318"/>
      <c r="M61" s="318"/>
      <c r="N61" s="318"/>
      <c r="O61" s="318"/>
      <c r="P61" s="374" t="s">
        <v>281</v>
      </c>
      <c r="Q61" s="375"/>
      <c r="R61" s="649" t="s">
        <v>282</v>
      </c>
      <c r="S61" s="650"/>
      <c r="T61" s="650"/>
      <c r="U61" s="650"/>
      <c r="V61" s="651"/>
      <c r="W61" s="394" t="s">
        <v>283</v>
      </c>
      <c r="X61" s="394"/>
      <c r="Y61" s="394"/>
      <c r="Z61" s="394" t="s">
        <v>284</v>
      </c>
      <c r="AA61" s="394"/>
      <c r="AB61" s="394"/>
      <c r="AN61" s="144" t="s">
        <v>477</v>
      </c>
      <c r="AO61" s="2"/>
      <c r="AP61" s="2"/>
    </row>
    <row r="62" spans="1:56" ht="12.75" customHeight="1">
      <c r="A62" s="373"/>
      <c r="B62" s="373"/>
      <c r="C62" s="373"/>
      <c r="D62" s="373"/>
      <c r="E62" s="373"/>
      <c r="F62" s="376"/>
      <c r="G62" s="373"/>
      <c r="H62" s="373"/>
      <c r="I62" s="373"/>
      <c r="J62" s="377"/>
      <c r="K62" s="693" t="s">
        <v>285</v>
      </c>
      <c r="L62" s="470"/>
      <c r="M62" s="56" t="s">
        <v>286</v>
      </c>
      <c r="N62" s="470" t="s">
        <v>287</v>
      </c>
      <c r="O62" s="588"/>
      <c r="P62" s="376"/>
      <c r="Q62" s="377"/>
      <c r="R62" s="471" t="s">
        <v>278</v>
      </c>
      <c r="S62" s="652"/>
      <c r="T62" s="42" t="s">
        <v>288</v>
      </c>
      <c r="U62" s="652" t="s">
        <v>289</v>
      </c>
      <c r="V62" s="653"/>
      <c r="W62" s="397"/>
      <c r="X62" s="397"/>
      <c r="Y62" s="397"/>
      <c r="Z62" s="397"/>
      <c r="AA62" s="397"/>
      <c r="AB62" s="397"/>
      <c r="AN62" s="183" t="str">
        <f>data_file($AF$3,$AE$9,AY62,AZ62)</f>
        <v>TEMA</v>
      </c>
      <c r="AO62" s="2" t="str">
        <f>data_file($AF$3,$AE$9,BA62,BB62)</f>
        <v>WN</v>
      </c>
      <c r="AP62" s="2" t="str">
        <f>data_file($AF$3,$AE$9,BC62,BD62)</f>
        <v>150 lb</v>
      </c>
      <c r="AY62" s="76">
        <v>41</v>
      </c>
      <c r="AZ62" s="76">
        <v>26</v>
      </c>
      <c r="BA62" s="2">
        <f>AY62</f>
        <v>41</v>
      </c>
      <c r="BB62" s="2">
        <f>AZ62+2</f>
        <v>28</v>
      </c>
      <c r="BC62" s="2">
        <f>AY62</f>
        <v>41</v>
      </c>
      <c r="BD62" s="2">
        <f>BB62+2</f>
        <v>30</v>
      </c>
    </row>
    <row r="63" spans="1:43" ht="12.75" customHeight="1">
      <c r="A63" s="502" t="s">
        <v>302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6"/>
      <c r="AP63" s="67">
        <v>32</v>
      </c>
      <c r="AQ63" s="67">
        <v>13</v>
      </c>
    </row>
    <row r="64" spans="1:43" ht="12.75" customHeight="1">
      <c r="A64" s="146" t="s">
        <v>359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34"/>
      <c r="S64" s="635"/>
      <c r="T64" s="125"/>
      <c r="U64" s="580"/>
      <c r="V64" s="581"/>
      <c r="W64" s="582"/>
      <c r="X64" s="583"/>
      <c r="Y64" s="583"/>
      <c r="Z64" s="580"/>
      <c r="AA64" s="617"/>
      <c r="AB64" s="617"/>
      <c r="AF64" s="186" t="str">
        <f>AF19</f>
        <v>Normalized</v>
      </c>
      <c r="AN64" s="145" t="s">
        <v>304</v>
      </c>
      <c r="AP64" s="67">
        <v>25</v>
      </c>
      <c r="AQ64" s="67">
        <v>14</v>
      </c>
    </row>
    <row r="65" spans="1:60" ht="12.75" customHeight="1">
      <c r="A65" s="32" t="str">
        <f>" "&amp;IF(AE11="B","Bonnet","Channel")</f>
        <v> Bonnet</v>
      </c>
      <c r="B65" s="32"/>
      <c r="C65" s="32"/>
      <c r="D65" s="32"/>
      <c r="E65" s="32"/>
      <c r="F65" s="58" t="str">
        <f aca="true" t="shared" si="15" ref="F65:F72">" "&amp;$AH$13&amp;AK65</f>
        <v> A 516-70</v>
      </c>
      <c r="G65" s="32"/>
      <c r="H65" s="32"/>
      <c r="I65" s="83"/>
      <c r="J65" s="151" t="s">
        <v>307</v>
      </c>
      <c r="K65" s="399">
        <f>AM65</f>
        <v>600</v>
      </c>
      <c r="L65" s="571"/>
      <c r="M65" s="60">
        <f>AO65</f>
        <v>12</v>
      </c>
      <c r="N65" s="379">
        <f>AP65</f>
        <v>881.52</v>
      </c>
      <c r="O65" s="379"/>
      <c r="P65" s="326">
        <v>1</v>
      </c>
      <c r="Q65" s="553"/>
      <c r="R65" s="378">
        <f>PI()/4*((K65+2*M65)^2-K65^2)*N65/10^9*P65*AD65*1000</f>
        <v>159.65567773366854</v>
      </c>
      <c r="S65" s="380"/>
      <c r="T65" s="61">
        <v>1</v>
      </c>
      <c r="U65" s="412">
        <f aca="true" t="shared" si="16" ref="U65:U72">R65*T65</f>
        <v>159.65567773366854</v>
      </c>
      <c r="V65" s="540"/>
      <c r="W65" s="516">
        <f>IF(AI65="plate",cost_plate(AK65,M65,$AF$65),cost_pipe(AK65,$AF$65))</f>
        <v>1000</v>
      </c>
      <c r="X65" s="517"/>
      <c r="Y65" s="518"/>
      <c r="Z65" s="412">
        <f aca="true" t="shared" si="17" ref="Z65:Z72">U65*W65</f>
        <v>159655.67773366853</v>
      </c>
      <c r="AA65" s="379"/>
      <c r="AB65" s="379"/>
      <c r="AC65" s="54"/>
      <c r="AD65" s="54">
        <f aca="true" t="shared" si="18" ref="AD65:AD72">mindex(AK65,-1)</f>
        <v>7.85</v>
      </c>
      <c r="AE65" s="54"/>
      <c r="AF65" s="2" t="str">
        <f>AF20</f>
        <v>- N/A -</v>
      </c>
      <c r="AG65" s="54"/>
      <c r="AH65" s="157" t="str">
        <f>data_file($AF$3,$AE$9,AS65,AT65)</f>
        <v>ASTM</v>
      </c>
      <c r="AI65" s="54" t="str">
        <f>data_file($AF$3,$AE$9,AU65,AV65)</f>
        <v>plate</v>
      </c>
      <c r="AJ65" s="54"/>
      <c r="AK65" s="54" t="str">
        <f>data_file($AF$3,$AE$9,AW65,AX65)</f>
        <v>A 516-70</v>
      </c>
      <c r="AL65" s="54"/>
      <c r="AM65" s="54">
        <f>data_file($AF$3,$AE$9,AY65,AZ65)</f>
        <v>600</v>
      </c>
      <c r="AN65" s="54">
        <f>data_file($AF$3,$AE$9,BA65,BB65)</f>
        <v>0.85</v>
      </c>
      <c r="AO65" s="54">
        <f>data_file($AF$3,$AE$9,BC65,BD65)</f>
        <v>12</v>
      </c>
      <c r="AP65" s="54">
        <f>data_file($AF$3,$AE$9,IF(AE11="B",AP63,AP64),IF(AE11="B",AQ63,AQ64))</f>
        <v>881.52</v>
      </c>
      <c r="AQ65" s="54" t="str">
        <f>data_file($AF$3,$AE$9,BE65,BF65)</f>
        <v>12"</v>
      </c>
      <c r="AR65" s="157" t="str">
        <f>data_file($AF$3,$AE$9,BE65,BG65)</f>
        <v>Sch.40</v>
      </c>
      <c r="AS65" s="150">
        <v>54</v>
      </c>
      <c r="AT65" s="150">
        <v>5</v>
      </c>
      <c r="AU65" s="54">
        <f>AS65</f>
        <v>54</v>
      </c>
      <c r="AV65" s="54">
        <f>AT65+1</f>
        <v>6</v>
      </c>
      <c r="AW65" s="54">
        <f>AU65</f>
        <v>54</v>
      </c>
      <c r="AX65" s="54">
        <f>AV65+2</f>
        <v>8</v>
      </c>
      <c r="AY65" s="54">
        <f>AW65</f>
        <v>54</v>
      </c>
      <c r="AZ65" s="150">
        <v>14</v>
      </c>
      <c r="BA65" s="54">
        <f>AY65</f>
        <v>54</v>
      </c>
      <c r="BB65" s="54">
        <f>AZ65+1</f>
        <v>15</v>
      </c>
      <c r="BC65" s="54">
        <f>BA65</f>
        <v>54</v>
      </c>
      <c r="BD65" s="54">
        <f>BB65+3</f>
        <v>18</v>
      </c>
      <c r="BE65" s="54">
        <f>AY65</f>
        <v>54</v>
      </c>
      <c r="BF65" s="150">
        <v>25</v>
      </c>
      <c r="BG65" s="54">
        <f>BF65+2</f>
        <v>27</v>
      </c>
      <c r="BH65" s="54"/>
    </row>
    <row r="66" spans="1:60" ht="12.75" customHeight="1">
      <c r="A66" s="32" t="str">
        <f>A65&amp;" Girth Flange"</f>
        <v> Bonnet Girth Flange</v>
      </c>
      <c r="B66" s="32"/>
      <c r="C66" s="32"/>
      <c r="D66" s="32"/>
      <c r="E66" s="32"/>
      <c r="F66" s="58" t="str">
        <f t="shared" si="15"/>
        <v> A 266 2</v>
      </c>
      <c r="G66" s="32"/>
      <c r="H66" s="32"/>
      <c r="I66" s="83"/>
      <c r="J66" s="59"/>
      <c r="K66" s="399">
        <f>AM66</f>
        <v>600</v>
      </c>
      <c r="L66" s="571"/>
      <c r="M66" s="60">
        <f>AO66</f>
        <v>25</v>
      </c>
      <c r="N66" s="541">
        <f>IF(P66&lt;=0,"***",STD_flange(AN62,AO62,AP62,AQ66,16)*(M66/AF66)*(AD66/7.85))</f>
        <v>37.795275590551185</v>
      </c>
      <c r="O66" s="541"/>
      <c r="P66" s="555">
        <f>IF(OR(AF11="1",AF11="3"),1,0)</f>
        <v>1</v>
      </c>
      <c r="Q66" s="556"/>
      <c r="R66" s="564">
        <f>IF(P66&lt;=0,0,N66*P66)</f>
        <v>37.795275590551185</v>
      </c>
      <c r="S66" s="565"/>
      <c r="T66" s="61">
        <v>1</v>
      </c>
      <c r="U66" s="542">
        <f t="shared" si="16"/>
        <v>37.795275590551185</v>
      </c>
      <c r="V66" s="543"/>
      <c r="W66" s="552">
        <f>IF(P66&lt;=0,0,cost_flange(AK66,AQ66,AR66,$AF$65))</f>
        <v>240000</v>
      </c>
      <c r="X66" s="552"/>
      <c r="Y66" s="552"/>
      <c r="Z66" s="430">
        <f>P66*W66</f>
        <v>240000</v>
      </c>
      <c r="AA66" s="407"/>
      <c r="AB66" s="407"/>
      <c r="AC66" s="2"/>
      <c r="AD66" s="2">
        <f t="shared" si="18"/>
        <v>7.85</v>
      </c>
      <c r="AE66" s="2"/>
      <c r="AF66" s="2">
        <f>data_file($AF$3,$AE$9,BE66,BF66)</f>
        <v>44.449999999999996</v>
      </c>
      <c r="AG66" s="2">
        <f>data_file($AF$3,$AE$9,BG66,BH66)</f>
        <v>67.2</v>
      </c>
      <c r="AH66" s="158" t="str">
        <f>data_file($AF$3,$AE$9,AS66,AT66)</f>
        <v>ASTM</v>
      </c>
      <c r="AI66" s="2" t="str">
        <f>data_file($AF$3,$AE$9,AU66,AV66)</f>
        <v>forging</v>
      </c>
      <c r="AJ66" s="2"/>
      <c r="AK66" s="2" t="str">
        <f>data_file($AF$3,$AE$9,AW66,AX66)</f>
        <v>A 266 2</v>
      </c>
      <c r="AL66" s="2"/>
      <c r="AM66" s="2">
        <f>data_file($AF$3,$AE$9,AY66,AZ66)</f>
        <v>600</v>
      </c>
      <c r="AN66" s="2"/>
      <c r="AO66" s="2">
        <f>data_file($AF$3,$AE$9,BC66,BD66)</f>
        <v>25</v>
      </c>
      <c r="AP66" s="2"/>
      <c r="AQ66" s="199" t="str">
        <f>data_file($AF$3,$AE$9,AQ67,AR67)</f>
        <v>24"</v>
      </c>
      <c r="AR66" s="2" t="str">
        <f>AP85</f>
        <v>150 lb</v>
      </c>
      <c r="AS66" s="2">
        <f>AS65+1</f>
        <v>55</v>
      </c>
      <c r="AT66" s="2">
        <f>AT65</f>
        <v>5</v>
      </c>
      <c r="AU66" s="2">
        <f>AS66</f>
        <v>55</v>
      </c>
      <c r="AV66" s="2">
        <f>AT66+1</f>
        <v>6</v>
      </c>
      <c r="AW66" s="2">
        <f>AU66</f>
        <v>55</v>
      </c>
      <c r="AX66" s="2">
        <f>AV66+2</f>
        <v>8</v>
      </c>
      <c r="AY66" s="2">
        <f>AW66</f>
        <v>55</v>
      </c>
      <c r="AZ66" s="2">
        <f>AZ65</f>
        <v>14</v>
      </c>
      <c r="BA66" s="2"/>
      <c r="BB66" s="2"/>
      <c r="BC66" s="2">
        <f>AY66</f>
        <v>55</v>
      </c>
      <c r="BD66" s="2">
        <f>AZ66+4</f>
        <v>18</v>
      </c>
      <c r="BE66" s="76">
        <v>40</v>
      </c>
      <c r="BF66" s="76">
        <v>33</v>
      </c>
      <c r="BG66" s="2">
        <f>BE66+1</f>
        <v>41</v>
      </c>
      <c r="BH66" s="2">
        <f>BF66</f>
        <v>33</v>
      </c>
    </row>
    <row r="67" spans="1:60" ht="12.75" customHeight="1">
      <c r="A67" s="32" t="s">
        <v>360</v>
      </c>
      <c r="B67" s="32"/>
      <c r="C67" s="32"/>
      <c r="D67" s="32"/>
      <c r="E67" s="32"/>
      <c r="F67" s="121" t="str">
        <f t="shared" si="15"/>
        <v> A 516-70</v>
      </c>
      <c r="G67" s="54"/>
      <c r="H67" s="54"/>
      <c r="I67" s="122"/>
      <c r="J67" s="123"/>
      <c r="K67" s="431">
        <f>AM67</f>
        <v>600</v>
      </c>
      <c r="L67" s="560"/>
      <c r="M67" s="124">
        <f>AO67</f>
        <v>12</v>
      </c>
      <c r="N67" s="561"/>
      <c r="O67" s="561"/>
      <c r="P67" s="459">
        <f>IF(AE11="B",1,0)</f>
        <v>1</v>
      </c>
      <c r="Q67" s="434"/>
      <c r="R67" s="564">
        <f>IF(P67&lt;=0,0,prophead(AF67,K67,0,2)*M67/1000*P67*AD67*1000)</f>
        <v>39.7211256</v>
      </c>
      <c r="S67" s="565"/>
      <c r="T67" s="125">
        <v>1</v>
      </c>
      <c r="U67" s="550">
        <f t="shared" si="16"/>
        <v>39.7211256</v>
      </c>
      <c r="V67" s="551"/>
      <c r="W67" s="407">
        <f>W65</f>
        <v>1000</v>
      </c>
      <c r="X67" s="407"/>
      <c r="Y67" s="407"/>
      <c r="Z67" s="430">
        <f t="shared" si="17"/>
        <v>39721.1256</v>
      </c>
      <c r="AA67" s="407"/>
      <c r="AB67" s="407"/>
      <c r="AC67" s="127"/>
      <c r="AD67" s="127">
        <f t="shared" si="18"/>
        <v>7.85</v>
      </c>
      <c r="AE67" s="127"/>
      <c r="AF67" s="127" t="str">
        <f>data_file($AF$3,$AE$9,BE67,BF67)</f>
        <v>2:1 Ellipsoidal</v>
      </c>
      <c r="AG67" s="127"/>
      <c r="AH67" s="237" t="str">
        <f>data_file($AF$3,$AE$9,AS67,AT67)</f>
        <v>ASTM</v>
      </c>
      <c r="AI67" s="127" t="str">
        <f>data_file($AF$3,$AE$9,AU67,AV67)</f>
        <v>plate</v>
      </c>
      <c r="AJ67" s="127"/>
      <c r="AK67" s="127" t="str">
        <f>data_file($AF$3,$AE$9,AW67,AX67)</f>
        <v>A 516-70</v>
      </c>
      <c r="AL67" s="127"/>
      <c r="AM67" s="127">
        <f>data_file($AF$3,$AE$9,AY67,AZ67)</f>
        <v>600</v>
      </c>
      <c r="AN67" s="127">
        <f>data_file($AF$3,$AE$9,BA67,BB67)</f>
        <v>1</v>
      </c>
      <c r="AO67" s="127">
        <f>data_file($AF$3,$AE$9,BC67,BD67)</f>
        <v>12</v>
      </c>
      <c r="AP67" s="181" t="s">
        <v>452</v>
      </c>
      <c r="AQ67" s="156">
        <v>41</v>
      </c>
      <c r="AR67" s="156">
        <v>24</v>
      </c>
      <c r="AS67" s="127">
        <f>AS66+1</f>
        <v>56</v>
      </c>
      <c r="AT67" s="127">
        <f>AT66</f>
        <v>5</v>
      </c>
      <c r="AU67" s="127">
        <f>AS67</f>
        <v>56</v>
      </c>
      <c r="AV67" s="127">
        <f>AV66</f>
        <v>6</v>
      </c>
      <c r="AW67" s="127">
        <f>AU67</f>
        <v>56</v>
      </c>
      <c r="AX67" s="127">
        <f>AX66</f>
        <v>8</v>
      </c>
      <c r="AY67" s="127">
        <f>AW67</f>
        <v>56</v>
      </c>
      <c r="AZ67" s="127">
        <f>AZ66</f>
        <v>14</v>
      </c>
      <c r="BA67" s="127">
        <f>AY67</f>
        <v>56</v>
      </c>
      <c r="BB67" s="127">
        <f>AZ67+1</f>
        <v>15</v>
      </c>
      <c r="BC67" s="127">
        <f>AY67</f>
        <v>56</v>
      </c>
      <c r="BD67" s="127">
        <f>BD66</f>
        <v>18</v>
      </c>
      <c r="BE67" s="127">
        <f>AS67</f>
        <v>56</v>
      </c>
      <c r="BF67" s="156">
        <v>10</v>
      </c>
      <c r="BG67" s="127"/>
      <c r="BH67" s="127"/>
    </row>
    <row r="68" spans="1:60" ht="12.75" customHeight="1">
      <c r="A68" s="32" t="s">
        <v>361</v>
      </c>
      <c r="B68" s="32"/>
      <c r="C68" s="32"/>
      <c r="D68" s="32"/>
      <c r="E68" s="32"/>
      <c r="F68" s="58" t="str">
        <f t="shared" si="15"/>
        <v> ***</v>
      </c>
      <c r="G68" s="32"/>
      <c r="H68" s="32"/>
      <c r="I68" s="83"/>
      <c r="J68" s="151"/>
      <c r="K68" s="399" t="str">
        <f>AM68</f>
        <v>***</v>
      </c>
      <c r="L68" s="571"/>
      <c r="M68" s="60">
        <f>AO68</f>
        <v>50</v>
      </c>
      <c r="N68" s="479" t="str">
        <f>IF(P68&lt;=0,"***",IF(AE11&lt;&gt;"D",STD_flange(AN71,"Blind",AP71,AQ69,16)*(M68/AF68)*(AD68/7.85),PI()/4*K68^2*M68/10^9*AD68*1000))</f>
        <v>***</v>
      </c>
      <c r="O68" s="479"/>
      <c r="P68" s="555">
        <f>IF(OR(AE11="A",AE11="D"),1,0)</f>
        <v>0</v>
      </c>
      <c r="Q68" s="556"/>
      <c r="R68" s="564">
        <f>IF(P68&lt;=0,0,N68*P68)</f>
        <v>0</v>
      </c>
      <c r="S68" s="565"/>
      <c r="T68" s="61">
        <v>1</v>
      </c>
      <c r="U68" s="412">
        <f t="shared" si="16"/>
        <v>0</v>
      </c>
      <c r="V68" s="540"/>
      <c r="W68" s="552">
        <f>IF(P68&lt;=0,0,cost_flange(AK69,AQ69,AR69,$AF$65)/N69*N68)</f>
        <v>0</v>
      </c>
      <c r="X68" s="552"/>
      <c r="Y68" s="552"/>
      <c r="Z68" s="412">
        <f>P68*W68</f>
        <v>0</v>
      </c>
      <c r="AA68" s="379"/>
      <c r="AB68" s="379"/>
      <c r="AC68" s="54"/>
      <c r="AD68" s="54">
        <f t="shared" si="18"/>
        <v>0</v>
      </c>
      <c r="AE68" s="54"/>
      <c r="AF68" s="54" t="str">
        <f>AF69</f>
        <v>***</v>
      </c>
      <c r="AG68" s="54" t="str">
        <f>AG69</f>
        <v>***</v>
      </c>
      <c r="AH68" s="157" t="str">
        <f>data_file($AF$3,$AE$9,AS68,AT68)</f>
        <v>***</v>
      </c>
      <c r="AI68" s="54" t="str">
        <f>data_file($AF$3,$AE$9,AU68,AV68)</f>
        <v>***</v>
      </c>
      <c r="AJ68" s="54"/>
      <c r="AK68" s="54" t="str">
        <f>data_file($AF$3,$AE$9,AW68,AX68)</f>
        <v>***</v>
      </c>
      <c r="AL68" s="54"/>
      <c r="AM68" s="54" t="str">
        <f>data_file($AF$3,$AE$9,AY68,AZ68)</f>
        <v>***</v>
      </c>
      <c r="AN68" s="54">
        <f>data_file($AF$3,$AE$9,BA68,BB68)</f>
        <v>1</v>
      </c>
      <c r="AO68" s="54">
        <f>data_file($AF$3,$AE$9,BC68,BD68)</f>
        <v>50</v>
      </c>
      <c r="AP68" s="54"/>
      <c r="AQ68" s="150">
        <v>59</v>
      </c>
      <c r="AR68" s="150">
        <v>24</v>
      </c>
      <c r="AS68" s="54">
        <f>AS67+1</f>
        <v>57</v>
      </c>
      <c r="AT68" s="54">
        <f>AT67</f>
        <v>5</v>
      </c>
      <c r="AU68" s="54">
        <f>AS68</f>
        <v>57</v>
      </c>
      <c r="AV68" s="54">
        <f>AT68+1</f>
        <v>6</v>
      </c>
      <c r="AW68" s="54">
        <f>AU68</f>
        <v>57</v>
      </c>
      <c r="AX68" s="54">
        <f>AV68+2</f>
        <v>8</v>
      </c>
      <c r="AY68" s="54">
        <f>AW68</f>
        <v>57</v>
      </c>
      <c r="AZ68" s="54">
        <f>AZ67</f>
        <v>14</v>
      </c>
      <c r="BA68" s="54">
        <f>AY68</f>
        <v>57</v>
      </c>
      <c r="BB68" s="54">
        <f>AZ68+1</f>
        <v>15</v>
      </c>
      <c r="BC68" s="54">
        <f>BA68</f>
        <v>57</v>
      </c>
      <c r="BD68" s="54">
        <f>BB68+3</f>
        <v>18</v>
      </c>
      <c r="BE68" s="54"/>
      <c r="BF68" s="54"/>
      <c r="BG68" s="54"/>
      <c r="BH68" s="54"/>
    </row>
    <row r="69" spans="1:60" ht="12.75" customHeight="1">
      <c r="A69" s="54" t="s">
        <v>362</v>
      </c>
      <c r="B69" s="54"/>
      <c r="C69" s="54"/>
      <c r="D69" s="54"/>
      <c r="E69" s="54"/>
      <c r="F69" s="121" t="str">
        <f t="shared" si="15"/>
        <v> ***</v>
      </c>
      <c r="G69" s="54"/>
      <c r="H69" s="54"/>
      <c r="I69" s="122"/>
      <c r="J69" s="123"/>
      <c r="K69" s="431" t="str">
        <f>AM69</f>
        <v>***</v>
      </c>
      <c r="L69" s="560"/>
      <c r="M69" s="124">
        <f>AO69</f>
        <v>30</v>
      </c>
      <c r="N69" s="541" t="str">
        <f>IF(P69&lt;=0,"***",STD_flange(AN71,AO71,AP71,AQ69,16)*(M69/AF69)*(AD69/7.85))</f>
        <v>***</v>
      </c>
      <c r="O69" s="541"/>
      <c r="P69" s="459">
        <f>IF(AE11="A",1,0)</f>
        <v>0</v>
      </c>
      <c r="Q69" s="434"/>
      <c r="R69" s="568">
        <f>IF(P69&lt;=0,0,N69*P69)</f>
        <v>0</v>
      </c>
      <c r="S69" s="569"/>
      <c r="T69" s="125">
        <v>1</v>
      </c>
      <c r="U69" s="550">
        <f t="shared" si="16"/>
        <v>0</v>
      </c>
      <c r="V69" s="551"/>
      <c r="W69" s="552">
        <f>IF(P69&lt;=0,0,cost_flange(AK69,AQ69,AR69,$AF$65))</f>
        <v>0</v>
      </c>
      <c r="X69" s="552"/>
      <c r="Y69" s="552"/>
      <c r="Z69" s="430">
        <f>P69*W69</f>
        <v>0</v>
      </c>
      <c r="AA69" s="407"/>
      <c r="AB69" s="407"/>
      <c r="AC69" s="2"/>
      <c r="AD69" s="2">
        <f t="shared" si="18"/>
        <v>0</v>
      </c>
      <c r="AE69" s="2"/>
      <c r="AF69" s="2" t="str">
        <f>data_file($AF$3,$AE$9,BE69,BF69)</f>
        <v>***</v>
      </c>
      <c r="AG69" s="2" t="str">
        <f>data_file($AF$3,$AE$9,BG69,BH69)</f>
        <v>***</v>
      </c>
      <c r="AH69" s="158" t="str">
        <f>data_file($AF$3,$AE$9,AS69,AT69)</f>
        <v>***</v>
      </c>
      <c r="AI69" s="2" t="str">
        <f>data_file($AF$3,$AE$9,AU69,AV69)</f>
        <v>***</v>
      </c>
      <c r="AJ69" s="2"/>
      <c r="AK69" s="2" t="str">
        <f>data_file($AF$3,$AE$9,AW69,AX69)</f>
        <v>***</v>
      </c>
      <c r="AL69" s="2"/>
      <c r="AM69" s="2" t="str">
        <f>data_file($AF$3,$AE$9,AY69,AZ69)</f>
        <v>***</v>
      </c>
      <c r="AN69" s="2"/>
      <c r="AO69" s="2">
        <f>data_file($AF$3,$AE$9,BC69,BD69)</f>
        <v>30</v>
      </c>
      <c r="AP69" s="2" t="s">
        <v>452</v>
      </c>
      <c r="AQ69" s="199" t="str">
        <f>data_file($AF$3,$AE$9,AQ68,AR68)</f>
        <v>***</v>
      </c>
      <c r="AR69" s="2" t="str">
        <f>AR66</f>
        <v>150 lb</v>
      </c>
      <c r="AS69" s="2">
        <f>AS68+1</f>
        <v>58</v>
      </c>
      <c r="AT69" s="2">
        <f>AT68</f>
        <v>5</v>
      </c>
      <c r="AU69" s="2">
        <f>AS69</f>
        <v>58</v>
      </c>
      <c r="AV69" s="2">
        <f>AT69+1</f>
        <v>6</v>
      </c>
      <c r="AW69" s="2">
        <f>AU69</f>
        <v>58</v>
      </c>
      <c r="AX69" s="2">
        <f>AV69+2</f>
        <v>8</v>
      </c>
      <c r="AY69" s="2">
        <f>AW69</f>
        <v>58</v>
      </c>
      <c r="AZ69" s="2">
        <f>AZ68</f>
        <v>14</v>
      </c>
      <c r="BA69" s="2"/>
      <c r="BB69" s="2"/>
      <c r="BC69" s="2">
        <f>AY69</f>
        <v>58</v>
      </c>
      <c r="BD69" s="2">
        <f>AZ69+4</f>
        <v>18</v>
      </c>
      <c r="BE69" s="76">
        <v>57</v>
      </c>
      <c r="BF69" s="76">
        <v>33</v>
      </c>
      <c r="BG69" s="2">
        <f>BE69+1</f>
        <v>58</v>
      </c>
      <c r="BH69" s="2">
        <f>BF69</f>
        <v>33</v>
      </c>
    </row>
    <row r="70" spans="1:59" ht="12.75" customHeight="1">
      <c r="A70" s="32"/>
      <c r="B70" s="32" t="s">
        <v>394</v>
      </c>
      <c r="C70" s="32"/>
      <c r="D70" s="32"/>
      <c r="E70" s="32"/>
      <c r="F70" s="58"/>
      <c r="G70" s="32"/>
      <c r="H70" s="89"/>
      <c r="I70" s="32"/>
      <c r="J70" s="59"/>
      <c r="K70" s="537"/>
      <c r="L70" s="538"/>
      <c r="M70" s="188"/>
      <c r="N70" s="536"/>
      <c r="O70" s="536"/>
      <c r="P70" s="423">
        <f>P69</f>
        <v>0</v>
      </c>
      <c r="Q70" s="422"/>
      <c r="R70" s="444"/>
      <c r="S70" s="544"/>
      <c r="T70" s="61">
        <v>1</v>
      </c>
      <c r="U70" s="542">
        <f>R70*T70</f>
        <v>0</v>
      </c>
      <c r="V70" s="543"/>
      <c r="W70" s="379">
        <f>IF(P70&lt;=0,0,cost_gasket(AQ69,AR69))</f>
        <v>0</v>
      </c>
      <c r="X70" s="379"/>
      <c r="Y70" s="379"/>
      <c r="Z70" s="412">
        <f>P70*W70</f>
        <v>0</v>
      </c>
      <c r="AA70" s="379"/>
      <c r="AB70" s="379"/>
      <c r="AC70" s="2"/>
      <c r="AD70" s="2"/>
      <c r="AE70" s="2"/>
      <c r="AF70" s="145" t="s">
        <v>3</v>
      </c>
      <c r="AG70" s="145" t="s">
        <v>281</v>
      </c>
      <c r="AH70" s="145" t="s">
        <v>4</v>
      </c>
      <c r="AI70" s="145" t="s">
        <v>287</v>
      </c>
      <c r="AJ70" s="145" t="s">
        <v>6</v>
      </c>
      <c r="AK70" s="2"/>
      <c r="AL70" s="213" t="s">
        <v>21</v>
      </c>
      <c r="AM70" s="2"/>
      <c r="AN70" s="144" t="s">
        <v>477</v>
      </c>
      <c r="AO70" s="2"/>
      <c r="AP70" s="2"/>
      <c r="AQ70" s="199" t="str">
        <f>flange(AN71,AO71,AP71,K65,M65,9)</f>
        <v>24"</v>
      </c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 customHeight="1">
      <c r="A71" s="32"/>
      <c r="B71" s="32" t="s">
        <v>395</v>
      </c>
      <c r="C71" s="32"/>
      <c r="D71" s="32"/>
      <c r="E71" s="32"/>
      <c r="F71" s="58"/>
      <c r="G71" s="32"/>
      <c r="H71" s="89"/>
      <c r="I71" s="32"/>
      <c r="J71" s="59"/>
      <c r="K71" s="572" t="str">
        <f>IF(P71&lt;=0,"***",AH71)</f>
        <v>***</v>
      </c>
      <c r="L71" s="573"/>
      <c r="M71" s="188"/>
      <c r="N71" s="558" t="str">
        <f>IF(P71&lt;=0,"***",AI71)</f>
        <v>***</v>
      </c>
      <c r="O71" s="559"/>
      <c r="P71" s="423">
        <f>IF(P69&lt;=0,0,P70*AG71)</f>
        <v>0</v>
      </c>
      <c r="Q71" s="422"/>
      <c r="R71" s="539">
        <f>IF(P71&lt;=0,0,PI()/4*K71^2*N71/10^9*P71*AD71*1000)</f>
        <v>0</v>
      </c>
      <c r="S71" s="554"/>
      <c r="T71" s="61">
        <v>1</v>
      </c>
      <c r="U71" s="412">
        <f>R71*T71</f>
        <v>0</v>
      </c>
      <c r="V71" s="540"/>
      <c r="W71" s="516">
        <f>IF(P71&lt;=0,0,cost_plate(AK71,AH71,"")*AL71)</f>
        <v>0</v>
      </c>
      <c r="X71" s="517"/>
      <c r="Y71" s="518"/>
      <c r="Z71" s="412">
        <f t="shared" si="17"/>
        <v>0</v>
      </c>
      <c r="AA71" s="379"/>
      <c r="AB71" s="379"/>
      <c r="AC71" s="2"/>
      <c r="AD71" s="2">
        <f t="shared" si="18"/>
        <v>7.85</v>
      </c>
      <c r="AE71" s="2"/>
      <c r="AF71" s="183">
        <f>STD_flange(AN71,AO71,AP71,AQ69,0)</f>
        <v>0</v>
      </c>
      <c r="AG71" s="2">
        <f>STD_flange(AN71,AO71,AP71,AQ69,2)</f>
        <v>0</v>
      </c>
      <c r="AH71" s="2">
        <f>STD_flange(AN71,AO71,AP71,AQ69,1)</f>
        <v>0</v>
      </c>
      <c r="AI71" s="2">
        <f>M68+M69+(AJ71+5)*2</f>
        <v>90</v>
      </c>
      <c r="AJ71" s="1">
        <f>AH71</f>
        <v>0</v>
      </c>
      <c r="AK71" s="2" t="str">
        <f>AK65</f>
        <v>A 516-70</v>
      </c>
      <c r="AL71" s="200">
        <v>5</v>
      </c>
      <c r="AM71" s="2"/>
      <c r="AN71" s="235" t="str">
        <f>data_file($AF$3,$AE$9,AY71,AZ71)</f>
        <v>TEMA</v>
      </c>
      <c r="AO71" s="2" t="str">
        <f>data_file($AF$3,$AE$9,BA71,BB71)</f>
        <v>WN</v>
      </c>
      <c r="AP71" s="2" t="str">
        <f>data_file($AF$3,$AE$9,BC71,BD71)</f>
        <v>150 lb</v>
      </c>
      <c r="AQ71" s="2"/>
      <c r="AR71" s="2"/>
      <c r="AS71" s="2"/>
      <c r="AT71" s="2"/>
      <c r="AU71" s="2"/>
      <c r="AV71" s="2"/>
      <c r="AW71" s="2"/>
      <c r="AX71" s="2"/>
      <c r="AY71" s="76">
        <v>57</v>
      </c>
      <c r="AZ71" s="76">
        <v>25</v>
      </c>
      <c r="BA71" s="2">
        <f>AY71</f>
        <v>57</v>
      </c>
      <c r="BB71" s="2">
        <f>AZ71+2</f>
        <v>27</v>
      </c>
      <c r="BC71" s="2">
        <f>AY71</f>
        <v>57</v>
      </c>
      <c r="BD71" s="2">
        <f>BB71+2</f>
        <v>29</v>
      </c>
      <c r="BE71" s="2"/>
      <c r="BF71" s="2"/>
      <c r="BG71" s="2"/>
    </row>
    <row r="72" spans="1:60" ht="12.75" customHeight="1">
      <c r="A72" s="33" t="s">
        <v>364</v>
      </c>
      <c r="B72" s="33"/>
      <c r="C72" s="33"/>
      <c r="D72" s="33"/>
      <c r="E72" s="33"/>
      <c r="F72" s="133" t="str">
        <f t="shared" si="15"/>
        <v> A 516-70</v>
      </c>
      <c r="G72" s="33"/>
      <c r="H72" s="148"/>
      <c r="I72" s="33"/>
      <c r="J72" s="134"/>
      <c r="K72" s="712">
        <f>K65</f>
        <v>600</v>
      </c>
      <c r="L72" s="713"/>
      <c r="M72" s="135">
        <f>AO72</f>
        <v>10</v>
      </c>
      <c r="N72" s="406">
        <f>N65</f>
        <v>881.52</v>
      </c>
      <c r="O72" s="406"/>
      <c r="P72" s="557">
        <f>INT(AQ5/2)</f>
        <v>0</v>
      </c>
      <c r="Q72" s="449"/>
      <c r="R72" s="450">
        <f>IF(P72&lt;=0,0,K72*M72*N72/10^9*P72*AD72*1000)</f>
        <v>0</v>
      </c>
      <c r="S72" s="584"/>
      <c r="T72" s="136">
        <v>1</v>
      </c>
      <c r="U72" s="585">
        <f t="shared" si="16"/>
        <v>0</v>
      </c>
      <c r="V72" s="586"/>
      <c r="W72" s="404"/>
      <c r="X72" s="404"/>
      <c r="Y72" s="404"/>
      <c r="Z72" s="415">
        <f t="shared" si="17"/>
        <v>0</v>
      </c>
      <c r="AA72" s="406"/>
      <c r="AB72" s="406"/>
      <c r="AC72" s="137"/>
      <c r="AD72" s="137">
        <f t="shared" si="18"/>
        <v>7.85</v>
      </c>
      <c r="AE72" s="137"/>
      <c r="AF72" s="137"/>
      <c r="AG72" s="137"/>
      <c r="AH72" s="137" t="str">
        <f>AH65</f>
        <v>ASTM</v>
      </c>
      <c r="AI72" s="137" t="s">
        <v>365</v>
      </c>
      <c r="AJ72" s="137"/>
      <c r="AK72" s="137" t="str">
        <f>data_file($AF$3,$AE$9,AW72,AX72)</f>
        <v>A 516-70</v>
      </c>
      <c r="AL72" s="137"/>
      <c r="AM72" s="137"/>
      <c r="AN72" s="137"/>
      <c r="AO72" s="137">
        <f>data_file($AF$3,$AE$9,BC72,BD72)</f>
        <v>10</v>
      </c>
      <c r="AP72" s="137"/>
      <c r="AQ72" s="137"/>
      <c r="AR72" s="137"/>
      <c r="AS72" s="137"/>
      <c r="AT72" s="137"/>
      <c r="AU72" s="137"/>
      <c r="AV72" s="137"/>
      <c r="AW72" s="155">
        <v>33</v>
      </c>
      <c r="AX72" s="155">
        <v>27</v>
      </c>
      <c r="AY72" s="137"/>
      <c r="AZ72" s="137"/>
      <c r="BA72" s="137"/>
      <c r="BB72" s="137"/>
      <c r="BC72" s="137">
        <f>AW72</f>
        <v>33</v>
      </c>
      <c r="BD72" s="137">
        <f>AX72+3</f>
        <v>30</v>
      </c>
      <c r="BE72" s="137"/>
      <c r="BF72" s="137"/>
      <c r="BG72" s="137"/>
      <c r="BH72" s="137"/>
    </row>
    <row r="73" spans="1:40" ht="12.75" customHeight="1">
      <c r="A73" s="146" t="s">
        <v>382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34"/>
      <c r="S73" s="635"/>
      <c r="T73" s="125"/>
      <c r="U73" s="580"/>
      <c r="V73" s="581"/>
      <c r="W73" s="582"/>
      <c r="X73" s="583"/>
      <c r="Y73" s="583"/>
      <c r="Z73" s="580"/>
      <c r="AA73" s="617"/>
      <c r="AB73" s="617"/>
      <c r="AN73" s="145" t="s">
        <v>304</v>
      </c>
    </row>
    <row r="74" spans="1:44" ht="12.75" customHeight="1">
      <c r="A74" s="32" t="str">
        <f>" "&amp;IF(AP12="B","Bonnet","Channel")</f>
        <v> Channel</v>
      </c>
      <c r="B74" s="32"/>
      <c r="C74" s="32"/>
      <c r="D74" s="32"/>
      <c r="E74" s="32"/>
      <c r="F74" s="58" t="str">
        <f aca="true" t="shared" si="19" ref="F74:F81">" "&amp;$AH$13&amp;AK74</f>
        <v> A 516-70</v>
      </c>
      <c r="G74" s="32"/>
      <c r="H74" s="32"/>
      <c r="I74" s="83"/>
      <c r="J74" s="151" t="s">
        <v>307</v>
      </c>
      <c r="K74" s="399">
        <f>AM74</f>
        <v>600</v>
      </c>
      <c r="L74" s="571"/>
      <c r="M74" s="60">
        <f>AO74</f>
        <v>12</v>
      </c>
      <c r="N74" s="379">
        <f>AP74</f>
        <v>881.52</v>
      </c>
      <c r="O74" s="379"/>
      <c r="P74" s="423">
        <f>IF(OR(AI11="L",AI11="M"),1,0)</f>
        <v>1</v>
      </c>
      <c r="Q74" s="422"/>
      <c r="R74" s="378">
        <f>IF(P74&lt;=0,0,PI()/4*((K74+2*M74)^2-K74^2)*N74/10^9*P74*AD74*1000)</f>
        <v>159.65567773366854</v>
      </c>
      <c r="S74" s="380"/>
      <c r="T74" s="61">
        <v>1</v>
      </c>
      <c r="U74" s="412">
        <f aca="true" t="shared" si="20" ref="U74:U81">R74*T74</f>
        <v>159.65567773366854</v>
      </c>
      <c r="V74" s="540"/>
      <c r="W74" s="378">
        <f>IF(AI74="plate",cost_plate(AK74,M74,$AF$65),cost_pipe(AK74,$AF$65))</f>
        <v>1000</v>
      </c>
      <c r="X74" s="379"/>
      <c r="Y74" s="380"/>
      <c r="Z74" s="412">
        <f aca="true" t="shared" si="21" ref="Z74:Z81">U74*W74</f>
        <v>159655.67773366853</v>
      </c>
      <c r="AA74" s="379"/>
      <c r="AB74" s="379"/>
      <c r="AC74" s="54"/>
      <c r="AD74" s="54">
        <f aca="true" t="shared" si="22" ref="AD74:AD81">mindex(AK74,-1)</f>
        <v>7.85</v>
      </c>
      <c r="AE74" s="54"/>
      <c r="AF74" s="54"/>
      <c r="AG74" s="54"/>
      <c r="AH74" s="157" t="str">
        <f aca="true" t="shared" si="23" ref="AH74:AI78">AH65</f>
        <v>ASTM</v>
      </c>
      <c r="AI74" s="54" t="str">
        <f t="shared" si="23"/>
        <v>plate</v>
      </c>
      <c r="AJ74" s="54"/>
      <c r="AK74" s="54" t="str">
        <f>AK65</f>
        <v>A 516-70</v>
      </c>
      <c r="AL74" s="54"/>
      <c r="AM74" s="54">
        <f aca="true" t="shared" si="24" ref="AM74:AR74">AM65</f>
        <v>600</v>
      </c>
      <c r="AN74" s="54">
        <f t="shared" si="24"/>
        <v>0.85</v>
      </c>
      <c r="AO74" s="54">
        <f t="shared" si="24"/>
        <v>12</v>
      </c>
      <c r="AP74" s="54">
        <f t="shared" si="24"/>
        <v>881.52</v>
      </c>
      <c r="AQ74" s="54" t="str">
        <f t="shared" si="24"/>
        <v>12"</v>
      </c>
      <c r="AR74" s="157" t="str">
        <f t="shared" si="24"/>
        <v>Sch.40</v>
      </c>
    </row>
    <row r="75" spans="1:44" ht="12.75" customHeight="1">
      <c r="A75" s="32" t="str">
        <f>A74&amp;" Girth Flange"</f>
        <v> Channel Girth Flange</v>
      </c>
      <c r="B75" s="32"/>
      <c r="C75" s="32"/>
      <c r="D75" s="32"/>
      <c r="E75" s="32"/>
      <c r="F75" s="58" t="str">
        <f t="shared" si="19"/>
        <v> A 266 2</v>
      </c>
      <c r="G75" s="32"/>
      <c r="H75" s="32"/>
      <c r="I75" s="83"/>
      <c r="J75" s="59"/>
      <c r="K75" s="399">
        <f>AM75</f>
        <v>600</v>
      </c>
      <c r="L75" s="571"/>
      <c r="M75" s="60">
        <f>AO75</f>
        <v>25</v>
      </c>
      <c r="N75" s="587"/>
      <c r="O75" s="587"/>
      <c r="P75" s="555">
        <f>IF(OR(AH11="1",AH11="3"),1,0)</f>
        <v>1</v>
      </c>
      <c r="Q75" s="556"/>
      <c r="R75" s="564">
        <f>IF(P75&lt;=0,0,AG75*(M75/AF75)*(AD75/7.85)*P75)</f>
        <v>37.795275590551185</v>
      </c>
      <c r="S75" s="565"/>
      <c r="T75" s="61">
        <v>1</v>
      </c>
      <c r="U75" s="542">
        <f t="shared" si="20"/>
        <v>37.795275590551185</v>
      </c>
      <c r="V75" s="543"/>
      <c r="W75" s="382"/>
      <c r="X75" s="382"/>
      <c r="Y75" s="382"/>
      <c r="Z75" s="412">
        <f t="shared" si="21"/>
        <v>0</v>
      </c>
      <c r="AA75" s="379"/>
      <c r="AB75" s="379"/>
      <c r="AC75" s="2"/>
      <c r="AD75" s="2">
        <f t="shared" si="22"/>
        <v>7.85</v>
      </c>
      <c r="AE75" s="2"/>
      <c r="AF75" s="2">
        <f>AF66</f>
        <v>44.449999999999996</v>
      </c>
      <c r="AG75" s="2">
        <f>AG66</f>
        <v>67.2</v>
      </c>
      <c r="AH75" s="158" t="str">
        <f t="shared" si="23"/>
        <v>ASTM</v>
      </c>
      <c r="AI75" s="2" t="str">
        <f t="shared" si="23"/>
        <v>forging</v>
      </c>
      <c r="AJ75" s="2"/>
      <c r="AK75" s="2" t="str">
        <f>AK66</f>
        <v>A 266 2</v>
      </c>
      <c r="AL75" s="2"/>
      <c r="AM75" s="2">
        <f>AM66</f>
        <v>600</v>
      </c>
      <c r="AN75" s="2"/>
      <c r="AO75" s="2">
        <f>AO66</f>
        <v>25</v>
      </c>
      <c r="AP75" s="2" t="s">
        <v>452</v>
      </c>
      <c r="AQ75" s="199" t="str">
        <f>AQ66</f>
        <v>24"</v>
      </c>
      <c r="AR75" s="2" t="str">
        <f>AR66</f>
        <v>150 lb</v>
      </c>
    </row>
    <row r="76" spans="1:44" ht="12.75" customHeight="1">
      <c r="A76" s="32" t="s">
        <v>360</v>
      </c>
      <c r="B76" s="32"/>
      <c r="C76" s="32"/>
      <c r="D76" s="32"/>
      <c r="E76" s="32"/>
      <c r="F76" s="121" t="str">
        <f t="shared" si="19"/>
        <v> A 516-70</v>
      </c>
      <c r="G76" s="54"/>
      <c r="H76" s="54"/>
      <c r="I76" s="122"/>
      <c r="J76" s="123"/>
      <c r="K76" s="431">
        <f>AM76</f>
        <v>600</v>
      </c>
      <c r="L76" s="560"/>
      <c r="M76" s="124">
        <f>AO76</f>
        <v>12</v>
      </c>
      <c r="N76" s="561"/>
      <c r="O76" s="561"/>
      <c r="P76" s="459">
        <f>IF(AI11="M",1,0)</f>
        <v>1</v>
      </c>
      <c r="Q76" s="434"/>
      <c r="R76" s="564">
        <f>IF(P76&lt;=0,0,prophead(AF76,K76,0,2)*M76/1000*P76*AD76*1000)</f>
        <v>39.7211256</v>
      </c>
      <c r="S76" s="565"/>
      <c r="T76" s="125">
        <v>1</v>
      </c>
      <c r="U76" s="550">
        <f t="shared" si="20"/>
        <v>39.7211256</v>
      </c>
      <c r="V76" s="551"/>
      <c r="W76" s="407">
        <f>W74</f>
        <v>1000</v>
      </c>
      <c r="X76" s="407"/>
      <c r="Y76" s="407"/>
      <c r="Z76" s="430">
        <f t="shared" si="21"/>
        <v>39721.1256</v>
      </c>
      <c r="AA76" s="407"/>
      <c r="AB76" s="407"/>
      <c r="AC76" s="127"/>
      <c r="AD76" s="127">
        <f t="shared" si="22"/>
        <v>7.85</v>
      </c>
      <c r="AE76" s="127"/>
      <c r="AF76" s="127" t="str">
        <f>AF67</f>
        <v>2:1 Ellipsoidal</v>
      </c>
      <c r="AG76" s="127"/>
      <c r="AH76" s="237" t="str">
        <f t="shared" si="23"/>
        <v>ASTM</v>
      </c>
      <c r="AI76" s="127" t="str">
        <f t="shared" si="23"/>
        <v>plate</v>
      </c>
      <c r="AJ76" s="127"/>
      <c r="AK76" s="127" t="str">
        <f>AK67</f>
        <v>A 516-70</v>
      </c>
      <c r="AL76" s="127"/>
      <c r="AM76" s="127">
        <f>AM67</f>
        <v>600</v>
      </c>
      <c r="AN76" s="127">
        <f>AN67</f>
        <v>1</v>
      </c>
      <c r="AO76" s="127">
        <f>AO67</f>
        <v>12</v>
      </c>
      <c r="AP76" s="127"/>
      <c r="AQ76" s="127"/>
      <c r="AR76" s="127"/>
    </row>
    <row r="77" spans="1:44" ht="12.75" customHeight="1">
      <c r="A77" s="32" t="s">
        <v>361</v>
      </c>
      <c r="B77" s="32"/>
      <c r="C77" s="32"/>
      <c r="D77" s="32"/>
      <c r="E77" s="32"/>
      <c r="F77" s="58" t="str">
        <f t="shared" si="19"/>
        <v> ***</v>
      </c>
      <c r="G77" s="32"/>
      <c r="H77" s="32"/>
      <c r="I77" s="83"/>
      <c r="J77" s="151"/>
      <c r="K77" s="399" t="str">
        <f>AM77</f>
        <v>***</v>
      </c>
      <c r="L77" s="571"/>
      <c r="M77" s="60">
        <f>AO77</f>
        <v>50</v>
      </c>
      <c r="N77" s="479" t="str">
        <f>IF(P77&lt;=0,"***",STD_flange(AN80,"Blind",AP80,AQ78,16)*(M77/AF77)*(AD77/7.85))</f>
        <v>***</v>
      </c>
      <c r="O77" s="479"/>
      <c r="P77" s="555">
        <f>IF(AI11="L",1,0)</f>
        <v>0</v>
      </c>
      <c r="Q77" s="556"/>
      <c r="R77" s="564">
        <f>IF(P77&lt;=0,0,N77*P77)</f>
        <v>0</v>
      </c>
      <c r="S77" s="565"/>
      <c r="T77" s="61">
        <v>1</v>
      </c>
      <c r="U77" s="412">
        <f t="shared" si="20"/>
        <v>0</v>
      </c>
      <c r="V77" s="540"/>
      <c r="W77" s="552">
        <f>IF(P77&lt;=0,0,cost_flange(AK78,AQ78,AR78,$AF$65)/N78*N77)</f>
        <v>0</v>
      </c>
      <c r="X77" s="552"/>
      <c r="Y77" s="552"/>
      <c r="Z77" s="412">
        <f>P77*W77</f>
        <v>0</v>
      </c>
      <c r="AA77" s="379"/>
      <c r="AB77" s="379"/>
      <c r="AC77" s="54"/>
      <c r="AD77" s="54">
        <f t="shared" si="22"/>
        <v>0</v>
      </c>
      <c r="AE77" s="54"/>
      <c r="AF77" s="54" t="str">
        <f>AF78</f>
        <v>***</v>
      </c>
      <c r="AG77" s="54" t="str">
        <f>AG78</f>
        <v>***</v>
      </c>
      <c r="AH77" s="157" t="str">
        <f t="shared" si="23"/>
        <v>***</v>
      </c>
      <c r="AI77" s="54" t="str">
        <f t="shared" si="23"/>
        <v>***</v>
      </c>
      <c r="AJ77" s="54"/>
      <c r="AK77" s="54" t="str">
        <f>AK68</f>
        <v>***</v>
      </c>
      <c r="AL77" s="54"/>
      <c r="AM77" s="54" t="str">
        <f>AM68</f>
        <v>***</v>
      </c>
      <c r="AN77" s="54">
        <f>AN68</f>
        <v>1</v>
      </c>
      <c r="AO77" s="54">
        <f>AO68</f>
        <v>50</v>
      </c>
      <c r="AP77" s="54"/>
      <c r="AQ77" s="54"/>
      <c r="AR77" s="157"/>
    </row>
    <row r="78" spans="1:44" ht="12.75" customHeight="1">
      <c r="A78" s="54" t="s">
        <v>362</v>
      </c>
      <c r="B78" s="54"/>
      <c r="C78" s="54"/>
      <c r="D78" s="54"/>
      <c r="E78" s="54"/>
      <c r="F78" s="121" t="str">
        <f t="shared" si="19"/>
        <v> ***</v>
      </c>
      <c r="G78" s="54"/>
      <c r="H78" s="54"/>
      <c r="I78" s="122"/>
      <c r="J78" s="123"/>
      <c r="K78" s="431" t="str">
        <f>AM78</f>
        <v>***</v>
      </c>
      <c r="L78" s="560"/>
      <c r="M78" s="124">
        <f>AO78</f>
        <v>30</v>
      </c>
      <c r="N78" s="541" t="str">
        <f>IF(P78&lt;=0,"***",STD_flange(AN80,AO80,AP80,AQ78,16)*(M78/AF78)*(AD78/7.85))</f>
        <v>***</v>
      </c>
      <c r="O78" s="541"/>
      <c r="P78" s="459">
        <f>IF(AI11="L",1,0)</f>
        <v>0</v>
      </c>
      <c r="Q78" s="434"/>
      <c r="R78" s="568">
        <f>IF(P78&lt;=0,0,N78*P78)</f>
        <v>0</v>
      </c>
      <c r="S78" s="569"/>
      <c r="T78" s="125">
        <v>1</v>
      </c>
      <c r="U78" s="550">
        <f t="shared" si="20"/>
        <v>0</v>
      </c>
      <c r="V78" s="551"/>
      <c r="W78" s="552">
        <f>IF(P78&lt;=0,0,cost_flange(AK78,AQ78,AR78,$AF$65))</f>
        <v>0</v>
      </c>
      <c r="X78" s="552"/>
      <c r="Y78" s="552"/>
      <c r="Z78" s="430">
        <f>P78*W78</f>
        <v>0</v>
      </c>
      <c r="AA78" s="407"/>
      <c r="AB78" s="407"/>
      <c r="AC78" s="2"/>
      <c r="AD78" s="2">
        <f t="shared" si="22"/>
        <v>0</v>
      </c>
      <c r="AE78" s="2"/>
      <c r="AF78" s="2" t="str">
        <f>AF69</f>
        <v>***</v>
      </c>
      <c r="AG78" s="2" t="str">
        <f>AG69</f>
        <v>***</v>
      </c>
      <c r="AH78" s="158" t="str">
        <f t="shared" si="23"/>
        <v>***</v>
      </c>
      <c r="AI78" s="2" t="str">
        <f t="shared" si="23"/>
        <v>***</v>
      </c>
      <c r="AJ78" s="2"/>
      <c r="AK78" s="2" t="str">
        <f>AK69</f>
        <v>***</v>
      </c>
      <c r="AL78" s="2"/>
      <c r="AM78" s="2" t="str">
        <f>AM69</f>
        <v>***</v>
      </c>
      <c r="AN78" s="2"/>
      <c r="AO78" s="2">
        <f>AO69</f>
        <v>30</v>
      </c>
      <c r="AP78" s="2" t="s">
        <v>452</v>
      </c>
      <c r="AQ78" s="199" t="str">
        <f>AQ69</f>
        <v>***</v>
      </c>
      <c r="AR78" s="2" t="str">
        <f>AR75</f>
        <v>150 lb</v>
      </c>
    </row>
    <row r="79" spans="1:59" ht="12.75" customHeight="1">
      <c r="A79" s="32"/>
      <c r="B79" s="32" t="s">
        <v>394</v>
      </c>
      <c r="C79" s="32"/>
      <c r="D79" s="32"/>
      <c r="E79" s="32"/>
      <c r="F79" s="58"/>
      <c r="G79" s="32"/>
      <c r="H79" s="89"/>
      <c r="I79" s="32"/>
      <c r="J79" s="59"/>
      <c r="K79" s="537"/>
      <c r="L79" s="538"/>
      <c r="M79" s="188"/>
      <c r="N79" s="536"/>
      <c r="O79" s="536"/>
      <c r="P79" s="423">
        <f>P78</f>
        <v>0</v>
      </c>
      <c r="Q79" s="422"/>
      <c r="R79" s="444"/>
      <c r="S79" s="544"/>
      <c r="T79" s="61">
        <v>1</v>
      </c>
      <c r="U79" s="542">
        <f>R79*T79</f>
        <v>0</v>
      </c>
      <c r="V79" s="543"/>
      <c r="W79" s="379">
        <f>IF(P79&lt;=0,0,cost_gasket(AQ78,AR78))</f>
        <v>0</v>
      </c>
      <c r="X79" s="379"/>
      <c r="Y79" s="379"/>
      <c r="Z79" s="412">
        <f>P79*W79</f>
        <v>0</v>
      </c>
      <c r="AA79" s="379"/>
      <c r="AB79" s="379"/>
      <c r="AC79" s="2"/>
      <c r="AD79" s="2"/>
      <c r="AE79" s="2"/>
      <c r="AF79" s="145" t="s">
        <v>3</v>
      </c>
      <c r="AG79" s="145" t="s">
        <v>281</v>
      </c>
      <c r="AH79" s="145" t="s">
        <v>4</v>
      </c>
      <c r="AI79" s="145" t="s">
        <v>287</v>
      </c>
      <c r="AJ79" s="145" t="s">
        <v>6</v>
      </c>
      <c r="AK79" s="2"/>
      <c r="AL79" s="213" t="s">
        <v>21</v>
      </c>
      <c r="AM79" s="2"/>
      <c r="AN79" s="144" t="str">
        <f>AN70</f>
        <v>Referenced Flange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 customHeight="1">
      <c r="A80" s="32"/>
      <c r="B80" s="32" t="s">
        <v>395</v>
      </c>
      <c r="C80" s="32"/>
      <c r="D80" s="32"/>
      <c r="E80" s="32"/>
      <c r="F80" s="58"/>
      <c r="G80" s="32"/>
      <c r="H80" s="89"/>
      <c r="I80" s="32"/>
      <c r="J80" s="59"/>
      <c r="K80" s="572" t="str">
        <f>IF(P80&lt;=0,"***",AH80)</f>
        <v>***</v>
      </c>
      <c r="L80" s="573"/>
      <c r="M80" s="188"/>
      <c r="N80" s="558" t="str">
        <f>IF(P80&lt;=0,"***",AI80)</f>
        <v>***</v>
      </c>
      <c r="O80" s="559"/>
      <c r="P80" s="423">
        <f>IF(P78&lt;=0,0,P79*AG80)</f>
        <v>0</v>
      </c>
      <c r="Q80" s="422"/>
      <c r="R80" s="539">
        <f>IF(P80&lt;=0,0,PI()/4*K80^2*N80/10^9*P80*AD80*1000)</f>
        <v>0</v>
      </c>
      <c r="S80" s="554"/>
      <c r="T80" s="61">
        <v>1</v>
      </c>
      <c r="U80" s="412">
        <f>R80*T80</f>
        <v>0</v>
      </c>
      <c r="V80" s="540"/>
      <c r="W80" s="516">
        <f>IF(P80&lt;=0,0,cost_plate(AK80,AH80,"")*AL80)</f>
        <v>0</v>
      </c>
      <c r="X80" s="517"/>
      <c r="Y80" s="518"/>
      <c r="Z80" s="412">
        <f>U80*W80</f>
        <v>0</v>
      </c>
      <c r="AA80" s="379"/>
      <c r="AB80" s="379"/>
      <c r="AC80" s="2"/>
      <c r="AD80" s="2">
        <f>mindex(AK80,-1)</f>
        <v>7.85</v>
      </c>
      <c r="AE80" s="2"/>
      <c r="AF80" s="183">
        <f>STD_flange(AN80,AO80,AP80,AQ78,0)</f>
        <v>0</v>
      </c>
      <c r="AG80" s="2">
        <f>STD_flange(AN80,AO80,AP80,AQ78,2)</f>
        <v>0</v>
      </c>
      <c r="AH80" s="2">
        <f>STD_flange(AN80,AO80,AP80,AQ78,1)</f>
        <v>0</v>
      </c>
      <c r="AI80" s="2">
        <f>M77+M78+(AJ80+5)*2</f>
        <v>90</v>
      </c>
      <c r="AJ80" s="1">
        <f>AH80</f>
        <v>0</v>
      </c>
      <c r="AK80" s="2" t="str">
        <f>AK74</f>
        <v>A 516-70</v>
      </c>
      <c r="AL80" s="218">
        <f>AL71</f>
        <v>5</v>
      </c>
      <c r="AM80" s="2"/>
      <c r="AN80" s="235" t="str">
        <f>AN71</f>
        <v>TEMA</v>
      </c>
      <c r="AO80" s="2" t="str">
        <f>AO71</f>
        <v>WN</v>
      </c>
      <c r="AP80" s="2" t="str">
        <f>AP71</f>
        <v>150 lb</v>
      </c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44" ht="12.75" customHeight="1">
      <c r="A81" s="33" t="s">
        <v>364</v>
      </c>
      <c r="B81" s="33"/>
      <c r="C81" s="33"/>
      <c r="D81" s="33"/>
      <c r="E81" s="33"/>
      <c r="F81" s="133" t="str">
        <f t="shared" si="19"/>
        <v> A 516-70</v>
      </c>
      <c r="G81" s="33"/>
      <c r="H81" s="148"/>
      <c r="I81" s="33"/>
      <c r="J81" s="134"/>
      <c r="K81" s="712">
        <f>K74</f>
        <v>600</v>
      </c>
      <c r="L81" s="713"/>
      <c r="M81" s="135">
        <f>AO81</f>
        <v>10</v>
      </c>
      <c r="N81" s="406">
        <f>N74</f>
        <v>881.52</v>
      </c>
      <c r="O81" s="406"/>
      <c r="P81" s="557">
        <f>INT(AQ5/3)</f>
        <v>0</v>
      </c>
      <c r="Q81" s="449"/>
      <c r="R81" s="450">
        <f>IF(P81&lt;=0,0,K81*M81*N81/10^9*P81*AD81*1000)</f>
        <v>0</v>
      </c>
      <c r="S81" s="584"/>
      <c r="T81" s="136">
        <v>1</v>
      </c>
      <c r="U81" s="585">
        <f t="shared" si="20"/>
        <v>0</v>
      </c>
      <c r="V81" s="586"/>
      <c r="W81" s="404"/>
      <c r="X81" s="404"/>
      <c r="Y81" s="404"/>
      <c r="Z81" s="415">
        <f t="shared" si="21"/>
        <v>0</v>
      </c>
      <c r="AA81" s="406"/>
      <c r="AB81" s="406"/>
      <c r="AC81" s="137"/>
      <c r="AD81" s="137">
        <f t="shared" si="22"/>
        <v>7.85</v>
      </c>
      <c r="AE81" s="137"/>
      <c r="AF81" s="137"/>
      <c r="AG81" s="137"/>
      <c r="AH81" s="236" t="str">
        <f>AH72</f>
        <v>ASTM</v>
      </c>
      <c r="AI81" s="137" t="str">
        <f>AI72</f>
        <v>plate</v>
      </c>
      <c r="AJ81" s="137"/>
      <c r="AK81" s="137" t="str">
        <f>AK72</f>
        <v>A 516-70</v>
      </c>
      <c r="AL81" s="137"/>
      <c r="AM81" s="137"/>
      <c r="AN81" s="137"/>
      <c r="AO81" s="137">
        <f>AO72</f>
        <v>10</v>
      </c>
      <c r="AP81" s="137"/>
      <c r="AQ81" s="137"/>
      <c r="AR81" s="137"/>
    </row>
    <row r="82" spans="1:59" ht="12.75" customHeight="1">
      <c r="A82" s="45" t="s">
        <v>349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164" t="s">
        <v>354</v>
      </c>
      <c r="P82" s="31"/>
      <c r="Q82" s="31"/>
      <c r="R82" s="643"/>
      <c r="S82" s="644"/>
      <c r="T82" s="55"/>
      <c r="U82" s="576"/>
      <c r="V82" s="577"/>
      <c r="W82" s="507"/>
      <c r="X82" s="507"/>
      <c r="Y82" s="507"/>
      <c r="Z82" s="419">
        <f aca="true" t="shared" si="25" ref="Z82:Z95">U82*W82</f>
        <v>0</v>
      </c>
      <c r="AA82" s="417"/>
      <c r="AB82" s="417"/>
      <c r="AC82" s="69"/>
      <c r="AD82" s="69"/>
      <c r="AE82" s="69"/>
      <c r="AF82" s="187" t="str">
        <f>AF30</f>
        <v>Normalized</v>
      </c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2"/>
      <c r="BF82" s="2"/>
      <c r="BG82" s="2"/>
    </row>
    <row r="83" spans="1:59" ht="12.75" customHeight="1">
      <c r="A83" s="465" t="s">
        <v>353</v>
      </c>
      <c r="B83" s="465"/>
      <c r="C83" s="32" t="s">
        <v>350</v>
      </c>
      <c r="D83" s="32"/>
      <c r="E83" s="143" t="str">
        <f>AN83</f>
        <v>16"</v>
      </c>
      <c r="F83" s="58" t="str">
        <f>" "&amp;$AH$13&amp;AK83</f>
        <v> A 106-B</v>
      </c>
      <c r="G83" s="32"/>
      <c r="H83" s="32"/>
      <c r="I83" s="83"/>
      <c r="J83" s="59"/>
      <c r="K83" s="532">
        <f>pipe(AH83,AK83,AN83,AO83,1)</f>
        <v>406.4</v>
      </c>
      <c r="L83" s="533"/>
      <c r="M83" s="60">
        <f>pipe(AH83,AK83,AN83,AO83,2)</f>
        <v>12.7</v>
      </c>
      <c r="N83" s="382">
        <v>200</v>
      </c>
      <c r="O83" s="382"/>
      <c r="P83" s="326">
        <v>1</v>
      </c>
      <c r="Q83" s="553"/>
      <c r="R83" s="564">
        <f>IF(P83&lt;=0,0,PI()/4*(K83^2-(K83-2*M83)^2)*N83/10^9*P83*AD83*1000)</f>
        <v>24.661453007675203</v>
      </c>
      <c r="S83" s="565"/>
      <c r="T83" s="61">
        <v>1</v>
      </c>
      <c r="U83" s="542">
        <f aca="true" t="shared" si="26" ref="U83:U88">R83*T83</f>
        <v>24.661453007675203</v>
      </c>
      <c r="V83" s="543"/>
      <c r="W83" s="517">
        <f>IF(AI83="pipe",cost_pipe(AK83,$AF$83),cost_forging(AK83,M83,$AF$83))</f>
        <v>3000</v>
      </c>
      <c r="X83" s="517"/>
      <c r="Y83" s="517"/>
      <c r="Z83" s="412">
        <f>U83*W83</f>
        <v>73984.35902302561</v>
      </c>
      <c r="AA83" s="379"/>
      <c r="AB83" s="379"/>
      <c r="AC83" s="2"/>
      <c r="AD83" s="2">
        <f aca="true" t="shared" si="27" ref="AD83:AD88">mindex(AK83,-1)</f>
        <v>7.85</v>
      </c>
      <c r="AE83" s="2"/>
      <c r="AF83" s="2" t="str">
        <f>AF31</f>
        <v>- N/A -</v>
      </c>
      <c r="AG83" s="2"/>
      <c r="AH83" s="2" t="str">
        <f>data_file($AF$3,$AM$3,AS83,AT83)</f>
        <v>ASTM</v>
      </c>
      <c r="AI83" s="2" t="str">
        <f>data_file($AF$3,$AM$3,AU83,AV83)</f>
        <v>pipe</v>
      </c>
      <c r="AJ83" s="2"/>
      <c r="AK83" s="2" t="str">
        <f>data_file($AF$3,$AM$3,AW83,AX83)</f>
        <v>A 106-B</v>
      </c>
      <c r="AL83" s="2"/>
      <c r="AM83" s="2"/>
      <c r="AN83" s="2" t="str">
        <f>data_file($AF$3,$AM$3,AY83,AZ83)</f>
        <v>16"</v>
      </c>
      <c r="AO83" s="5" t="str">
        <f>data_file($AF$3,$AM$3,BA83,BB83)</f>
        <v>Sch.40</v>
      </c>
      <c r="AP83" s="2"/>
      <c r="AQ83" s="2"/>
      <c r="AR83" s="2"/>
      <c r="AS83" s="76">
        <v>40</v>
      </c>
      <c r="AT83" s="76">
        <f>25+3</f>
        <v>28</v>
      </c>
      <c r="AU83" s="2">
        <f>AS83</f>
        <v>40</v>
      </c>
      <c r="AV83" s="2">
        <f>AT83+2</f>
        <v>30</v>
      </c>
      <c r="AW83" s="2">
        <f>AS83+1</f>
        <v>41</v>
      </c>
      <c r="AX83" s="2">
        <f>AT83</f>
        <v>28</v>
      </c>
      <c r="AY83" s="76">
        <v>38</v>
      </c>
      <c r="AZ83" s="76">
        <v>12</v>
      </c>
      <c r="BA83" s="2">
        <f>AW83+1</f>
        <v>42</v>
      </c>
      <c r="BB83" s="2">
        <f>AX83</f>
        <v>28</v>
      </c>
      <c r="BC83" s="2"/>
      <c r="BD83" s="2"/>
      <c r="BE83" s="2"/>
      <c r="BF83" s="2"/>
      <c r="BG83" s="2"/>
    </row>
    <row r="84" spans="1:59" ht="12.75" customHeight="1">
      <c r="A84" s="531"/>
      <c r="B84" s="531"/>
      <c r="C84" s="32" t="s">
        <v>351</v>
      </c>
      <c r="D84" s="32"/>
      <c r="E84" s="32"/>
      <c r="F84" s="58" t="str">
        <f>IF(P84&lt;=0,"***"," "&amp;$AH$13&amp;AK84)</f>
        <v> A 516-70</v>
      </c>
      <c r="G84" s="32"/>
      <c r="H84" s="32"/>
      <c r="I84" s="83"/>
      <c r="J84" s="59"/>
      <c r="K84" s="532">
        <f>IF(P84&lt;=0,"***",K83+MIN(300*2,K83))</f>
        <v>812.8</v>
      </c>
      <c r="L84" s="533"/>
      <c r="M84" s="60">
        <f>IF(P84&lt;=0,"***",M65)</f>
        <v>12</v>
      </c>
      <c r="N84" s="536"/>
      <c r="O84" s="536"/>
      <c r="P84" s="423">
        <f>IF(P83&lt;=0,0,IF(AI83="forging",0,IF(K83&lt;50,0,P83)))</f>
        <v>1</v>
      </c>
      <c r="Q84" s="422"/>
      <c r="R84" s="564">
        <f>IF(P84&lt;=0,0,PI()/4*(K84^2-K83^2)*M84/10^9*P84*AD84*1000)</f>
        <v>36.65805659979593</v>
      </c>
      <c r="S84" s="565"/>
      <c r="T84" s="61">
        <v>1</v>
      </c>
      <c r="U84" s="542">
        <f t="shared" si="26"/>
        <v>36.65805659979593</v>
      </c>
      <c r="V84" s="543"/>
      <c r="W84" s="379">
        <f>IF(P84&lt;=0,0,cost_plate(AK84,M84,$AF$31))</f>
        <v>1000</v>
      </c>
      <c r="X84" s="379"/>
      <c r="Y84" s="379"/>
      <c r="Z84" s="412">
        <f t="shared" si="25"/>
        <v>36658.05659979593</v>
      </c>
      <c r="AA84" s="379"/>
      <c r="AB84" s="379"/>
      <c r="AC84" s="2"/>
      <c r="AD84" s="2">
        <f t="shared" si="27"/>
        <v>7.85</v>
      </c>
      <c r="AE84" s="2"/>
      <c r="AH84" s="221" t="str">
        <f>AH83</f>
        <v>ASTM</v>
      </c>
      <c r="AI84" s="1" t="str">
        <f>AI65</f>
        <v>plate</v>
      </c>
      <c r="AK84" s="1" t="str">
        <f>AK65</f>
        <v>A 516-70</v>
      </c>
      <c r="BE84" s="2"/>
      <c r="BF84" s="2"/>
      <c r="BG84" s="2"/>
    </row>
    <row r="85" spans="1:59" ht="12.75" customHeight="1">
      <c r="A85" s="495"/>
      <c r="B85" s="495"/>
      <c r="C85" s="54" t="s">
        <v>352</v>
      </c>
      <c r="D85" s="54"/>
      <c r="E85" s="54"/>
      <c r="F85" s="121" t="str">
        <f>IF(P85&lt;=0,"***"," "&amp;$AH$13&amp;AK85)</f>
        <v> A 105</v>
      </c>
      <c r="G85" s="54"/>
      <c r="H85" s="54"/>
      <c r="I85" s="122"/>
      <c r="J85" s="123"/>
      <c r="K85" s="562">
        <f>IF(P85&lt;=0,"***",STD_flange(AN85,AO85,AP85,AN83,-1))</f>
        <v>596.9</v>
      </c>
      <c r="L85" s="563"/>
      <c r="M85" s="124">
        <f>IF(P85&lt;=0,"***",STD_flange(AN85,AO85,AP85,AN83,8))</f>
        <v>34.97599999999999</v>
      </c>
      <c r="N85" s="541">
        <f>IF(P85&lt;=0,"***",STD_flange(AN85,AO85,AP85,AN83,16)/7.85*AD85)</f>
        <v>64.41</v>
      </c>
      <c r="O85" s="541"/>
      <c r="P85" s="459">
        <f>IF(AF85&lt;&gt;"Flanged",0,P83)</f>
        <v>1</v>
      </c>
      <c r="Q85" s="434"/>
      <c r="R85" s="568">
        <f>IF(P85&lt;=0,0,N85*P85)</f>
        <v>64.41</v>
      </c>
      <c r="S85" s="569"/>
      <c r="T85" s="125">
        <v>1</v>
      </c>
      <c r="U85" s="550">
        <f t="shared" si="26"/>
        <v>64.41</v>
      </c>
      <c r="V85" s="551"/>
      <c r="W85" s="407">
        <f>IF(P85&lt;=0,0,cost_flange(AK85,AN83,AP85,$AF$83))</f>
        <v>160000</v>
      </c>
      <c r="X85" s="407"/>
      <c r="Y85" s="407"/>
      <c r="Z85" s="430">
        <f>P85*W85</f>
        <v>160000</v>
      </c>
      <c r="AA85" s="407"/>
      <c r="AB85" s="407"/>
      <c r="AC85" s="2"/>
      <c r="AD85" s="2">
        <f t="shared" si="27"/>
        <v>7.85</v>
      </c>
      <c r="AE85" s="2"/>
      <c r="AF85" s="2" t="str">
        <f>data_file($AF$3,$AM$3,AQ85,AR85)</f>
        <v>Flanged</v>
      </c>
      <c r="AG85" s="2"/>
      <c r="AH85" s="158" t="str">
        <f>AH83</f>
        <v>ASTM</v>
      </c>
      <c r="AI85" s="2" t="str">
        <f>data_file($AF$3,$AM$3,AU85,AV85)</f>
        <v>forging</v>
      </c>
      <c r="AJ85" s="2"/>
      <c r="AK85" s="2" t="str">
        <f>data_file($AF$3,$AM$3,AW85,AX85)</f>
        <v>A 105</v>
      </c>
      <c r="AL85" s="2"/>
      <c r="AM85" s="2"/>
      <c r="AN85" s="158" t="str">
        <f>data_file($AF$3,$AM$3,AY85,AZ85)</f>
        <v>ANSI</v>
      </c>
      <c r="AO85" s="2" t="str">
        <f>data_file($AF$3,$AM$3,BA85,BB85)</f>
        <v>WN</v>
      </c>
      <c r="AP85" s="2" t="str">
        <f>data_file($AF$3,$AM$3,BC85,BD85)</f>
        <v>150 lb</v>
      </c>
      <c r="AQ85" s="2">
        <f>AY83</f>
        <v>38</v>
      </c>
      <c r="AR85" s="2">
        <f>AZ83+2</f>
        <v>14</v>
      </c>
      <c r="AU85" s="2">
        <f>AY85</f>
        <v>54</v>
      </c>
      <c r="AV85" s="2">
        <f>AZ85+2</f>
        <v>31</v>
      </c>
      <c r="AW85" s="1">
        <f>AY85+1</f>
        <v>55</v>
      </c>
      <c r="AX85" s="1">
        <f>AZ85</f>
        <v>29</v>
      </c>
      <c r="AY85" s="76">
        <v>54</v>
      </c>
      <c r="AZ85" s="76">
        <v>29</v>
      </c>
      <c r="BA85" s="2">
        <f>AY85+4</f>
        <v>58</v>
      </c>
      <c r="BB85" s="2">
        <f>AZ85</f>
        <v>29</v>
      </c>
      <c r="BC85" s="2">
        <f>BA85+1</f>
        <v>59</v>
      </c>
      <c r="BD85" s="2">
        <f>BB85</f>
        <v>29</v>
      </c>
      <c r="BE85" s="2"/>
      <c r="BF85" s="2"/>
      <c r="BG85" s="2"/>
    </row>
    <row r="86" spans="1:59" ht="12.75" customHeight="1">
      <c r="A86" s="465" t="s">
        <v>355</v>
      </c>
      <c r="B86" s="465"/>
      <c r="C86" s="32" t="s">
        <v>350</v>
      </c>
      <c r="D86" s="32"/>
      <c r="E86" s="143" t="str">
        <f>AN86</f>
        <v>16"</v>
      </c>
      <c r="F86" s="58" t="str">
        <f>" "&amp;$AH$13&amp;AK86</f>
        <v> A 106-B</v>
      </c>
      <c r="G86" s="32"/>
      <c r="H86" s="32"/>
      <c r="I86" s="83"/>
      <c r="J86" s="59"/>
      <c r="K86" s="532">
        <f>pipe(AH86,AK86,AN86,AO86,1)</f>
        <v>406.4</v>
      </c>
      <c r="L86" s="533"/>
      <c r="M86" s="60">
        <f>pipe(AH86,AK86,AN86,AO86,2)</f>
        <v>12.7</v>
      </c>
      <c r="N86" s="379">
        <f>N83</f>
        <v>200</v>
      </c>
      <c r="O86" s="379"/>
      <c r="P86" s="326">
        <v>1</v>
      </c>
      <c r="Q86" s="553"/>
      <c r="R86" s="564">
        <f>IF(P86&lt;=0,0,PI()/4*(K86^2-(K86-2*M86)^2)*N86/10^9*P86*AD86*1000)</f>
        <v>24.661453007675203</v>
      </c>
      <c r="S86" s="565"/>
      <c r="T86" s="61">
        <v>1</v>
      </c>
      <c r="U86" s="542">
        <f t="shared" si="26"/>
        <v>24.661453007675203</v>
      </c>
      <c r="V86" s="543"/>
      <c r="W86" s="379">
        <f>IF(AI86="pipe",cost_pipe(AK86,$AF$83),cost_forging(AK86,M86,$AF$83))</f>
        <v>3000</v>
      </c>
      <c r="X86" s="379"/>
      <c r="Y86" s="379"/>
      <c r="Z86" s="412">
        <f t="shared" si="25"/>
        <v>73984.35902302561</v>
      </c>
      <c r="AA86" s="379"/>
      <c r="AB86" s="379"/>
      <c r="AC86" s="54"/>
      <c r="AD86" s="54">
        <f t="shared" si="27"/>
        <v>7.85</v>
      </c>
      <c r="AE86" s="54"/>
      <c r="AF86" s="54"/>
      <c r="AG86" s="54"/>
      <c r="AH86" s="157" t="str">
        <f>data_file($AF$3,$AM$3,AS86,AT86)</f>
        <v>ASTM</v>
      </c>
      <c r="AI86" s="54" t="str">
        <f>AI83</f>
        <v>pipe</v>
      </c>
      <c r="AJ86" s="54"/>
      <c r="AK86" s="54" t="str">
        <f>data_file($AF$3,$AM$3,AW86,AX86)</f>
        <v>A 106-B</v>
      </c>
      <c r="AL86" s="54"/>
      <c r="AM86" s="54"/>
      <c r="AN86" s="54" t="str">
        <f>data_file($AF$3,$AM$3,AY86,AZ86)</f>
        <v>16"</v>
      </c>
      <c r="AO86" s="122" t="str">
        <f>data_file($AF$3,$AM$3,BA86,BB86)</f>
        <v>Sch.40</v>
      </c>
      <c r="AP86" s="54"/>
      <c r="AQ86" s="54"/>
      <c r="AR86" s="54"/>
      <c r="AS86" s="54">
        <f>AS83</f>
        <v>40</v>
      </c>
      <c r="AT86" s="54">
        <f>AT83</f>
        <v>28</v>
      </c>
      <c r="AU86" s="54"/>
      <c r="AV86" s="54"/>
      <c r="AW86" s="54">
        <f>AS86+1</f>
        <v>41</v>
      </c>
      <c r="AX86" s="54">
        <f>AT86</f>
        <v>28</v>
      </c>
      <c r="AY86" s="54">
        <f>AY83+1</f>
        <v>39</v>
      </c>
      <c r="AZ86" s="54">
        <f>AZ83</f>
        <v>12</v>
      </c>
      <c r="BA86" s="54">
        <f>AW86+1</f>
        <v>42</v>
      </c>
      <c r="BB86" s="54">
        <f>AX86+2</f>
        <v>30</v>
      </c>
      <c r="BC86" s="54"/>
      <c r="BD86" s="54"/>
      <c r="BE86" s="2"/>
      <c r="BF86" s="2"/>
      <c r="BG86" s="2"/>
    </row>
    <row r="87" spans="1:59" ht="12.75" customHeight="1">
      <c r="A87" s="531"/>
      <c r="B87" s="531"/>
      <c r="C87" s="32" t="s">
        <v>351</v>
      </c>
      <c r="D87" s="32"/>
      <c r="E87" s="32"/>
      <c r="F87" s="58" t="str">
        <f aca="true" t="shared" si="28" ref="F87:F92">IF(P87&lt;=0,"***"," "&amp;$AH$13&amp;AK87)</f>
        <v> A 516-70</v>
      </c>
      <c r="G87" s="32"/>
      <c r="H87" s="32"/>
      <c r="I87" s="83"/>
      <c r="J87" s="59"/>
      <c r="K87" s="532">
        <f>IF(P87&lt;=0,"***",K86+MIN(300*2,K86))</f>
        <v>812.8</v>
      </c>
      <c r="L87" s="533"/>
      <c r="M87" s="60">
        <f>IF(P87&lt;=0,"***",M74)</f>
        <v>12</v>
      </c>
      <c r="N87" s="536"/>
      <c r="O87" s="536"/>
      <c r="P87" s="423">
        <f>IF(P86&lt;=0,0,IF(AI86="forging",0,IF(K86&lt;50,0,P86)))</f>
        <v>1</v>
      </c>
      <c r="Q87" s="422"/>
      <c r="R87" s="564">
        <f>IF(P87&lt;=0,0,PI()/4*(K87^2-K86^2)*M87/10^9*P87*AD87*1000)</f>
        <v>36.65805659979593</v>
      </c>
      <c r="S87" s="565"/>
      <c r="T87" s="61">
        <v>1</v>
      </c>
      <c r="U87" s="542">
        <f t="shared" si="26"/>
        <v>36.65805659979593</v>
      </c>
      <c r="V87" s="543"/>
      <c r="W87" s="379">
        <f>IF(P87&lt;=0,0,cost_plate(AK87,M87,$AF$31))</f>
        <v>1000</v>
      </c>
      <c r="X87" s="379"/>
      <c r="Y87" s="379"/>
      <c r="Z87" s="412">
        <f t="shared" si="25"/>
        <v>36658.05659979593</v>
      </c>
      <c r="AA87" s="379"/>
      <c r="AB87" s="379"/>
      <c r="AC87" s="2"/>
      <c r="AD87" s="2">
        <f t="shared" si="27"/>
        <v>7.85</v>
      </c>
      <c r="AE87" s="2"/>
      <c r="AF87" s="2"/>
      <c r="AG87" s="2"/>
      <c r="AH87" s="158" t="str">
        <f>AH86</f>
        <v>ASTM</v>
      </c>
      <c r="AI87" s="2" t="str">
        <f>AI84</f>
        <v>plate</v>
      </c>
      <c r="AJ87" s="2"/>
      <c r="AK87" s="2" t="str">
        <f>AK84</f>
        <v>A 516-70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2.75" customHeight="1">
      <c r="A88" s="487"/>
      <c r="B88" s="487"/>
      <c r="C88" s="33" t="s">
        <v>352</v>
      </c>
      <c r="D88" s="33"/>
      <c r="E88" s="33"/>
      <c r="F88" s="133" t="str">
        <f t="shared" si="28"/>
        <v> A 105</v>
      </c>
      <c r="G88" s="33"/>
      <c r="H88" s="33"/>
      <c r="I88" s="84"/>
      <c r="J88" s="134"/>
      <c r="K88" s="574">
        <f>IF(P88&lt;=0,"***",STD_flange(AN88,AO88,AP88,AN86,-1))</f>
        <v>596.9</v>
      </c>
      <c r="L88" s="575"/>
      <c r="M88" s="135">
        <f>IF(P88&lt;=0,"***",STD_flange(AN88,AO88,AP88,AN86,8))</f>
        <v>34.97599999999999</v>
      </c>
      <c r="N88" s="500">
        <f>IF(P88&lt;=0,"***",STD_flange(AN88,AO88,AP88,AN86,16)/7.85*AD88)</f>
        <v>64.41</v>
      </c>
      <c r="O88" s="500"/>
      <c r="P88" s="557">
        <f>IF(AF88&lt;&gt;"Flanged",0,P86)</f>
        <v>1</v>
      </c>
      <c r="Q88" s="449"/>
      <c r="R88" s="578">
        <f>IF(P88&lt;=0,0,N88*P88)</f>
        <v>64.41</v>
      </c>
      <c r="S88" s="579"/>
      <c r="T88" s="136">
        <v>1</v>
      </c>
      <c r="U88" s="585">
        <f t="shared" si="26"/>
        <v>64.41</v>
      </c>
      <c r="V88" s="586"/>
      <c r="W88" s="407">
        <f>IF(P88&lt;=0,0,cost_flange(AK88,AN86,AP88,$AF$83))</f>
        <v>160000</v>
      </c>
      <c r="X88" s="407"/>
      <c r="Y88" s="407"/>
      <c r="Z88" s="415">
        <f>P88*W88</f>
        <v>160000</v>
      </c>
      <c r="AA88" s="406"/>
      <c r="AB88" s="406"/>
      <c r="AC88" s="137"/>
      <c r="AD88" s="137">
        <f t="shared" si="27"/>
        <v>7.85</v>
      </c>
      <c r="AE88" s="137"/>
      <c r="AF88" s="137" t="str">
        <f>data_file($AF$3,$AM$3,AQ88,AR88)</f>
        <v>Flanged</v>
      </c>
      <c r="AG88" s="137"/>
      <c r="AH88" s="236" t="str">
        <f>AH86</f>
        <v>ASTM</v>
      </c>
      <c r="AI88" s="137" t="str">
        <f>data_file($AF$3,$AM$3,AU88,AV88)</f>
        <v>forging</v>
      </c>
      <c r="AJ88" s="137"/>
      <c r="AK88" s="137" t="str">
        <f>data_file($AF$3,$AM$3,AW88,AX88)</f>
        <v>A 105</v>
      </c>
      <c r="AL88" s="137"/>
      <c r="AM88" s="137"/>
      <c r="AN88" s="236" t="str">
        <f>data_file($AF$3,$AM$3,AY88,AZ88)</f>
        <v>ANSI</v>
      </c>
      <c r="AO88" s="137" t="str">
        <f>data_file($AF$3,$AM$3,BA88,BB88)</f>
        <v>WN</v>
      </c>
      <c r="AP88" s="137" t="str">
        <f>data_file($AF$3,$AM$3,BC88,BD88)</f>
        <v>150 lb</v>
      </c>
      <c r="AQ88" s="137">
        <f>AY86</f>
        <v>39</v>
      </c>
      <c r="AR88" s="137">
        <f>AZ86+2</f>
        <v>14</v>
      </c>
      <c r="AU88" s="137">
        <f>AY88</f>
        <v>54</v>
      </c>
      <c r="AV88" s="137">
        <f>AZ88+2</f>
        <v>31</v>
      </c>
      <c r="AW88" s="137">
        <f>AY88+1</f>
        <v>55</v>
      </c>
      <c r="AX88" s="137">
        <f>AZ88</f>
        <v>29</v>
      </c>
      <c r="AY88" s="137">
        <f>AY85</f>
        <v>54</v>
      </c>
      <c r="AZ88" s="137">
        <f>AZ85</f>
        <v>29</v>
      </c>
      <c r="BA88" s="137">
        <f>AY88+4</f>
        <v>58</v>
      </c>
      <c r="BB88" s="137">
        <f>AZ88+2</f>
        <v>31</v>
      </c>
      <c r="BC88" s="137">
        <f>BA88+1</f>
        <v>59</v>
      </c>
      <c r="BD88" s="137">
        <f>BB88</f>
        <v>31</v>
      </c>
      <c r="BE88" s="2"/>
      <c r="BF88" s="2"/>
      <c r="BG88" s="2"/>
    </row>
    <row r="89" spans="1:59" ht="12.75" customHeight="1">
      <c r="A89" s="485" t="s">
        <v>401</v>
      </c>
      <c r="B89" s="485"/>
      <c r="C89" s="32" t="s">
        <v>350</v>
      </c>
      <c r="D89" s="32"/>
      <c r="E89" s="143" t="str">
        <f>AN89</f>
        <v>3/4"</v>
      </c>
      <c r="F89" s="58" t="str">
        <f t="shared" si="28"/>
        <v> A 106-B</v>
      </c>
      <c r="G89" s="32"/>
      <c r="H89" s="32"/>
      <c r="I89" s="83"/>
      <c r="J89" s="59"/>
      <c r="K89" s="532">
        <f>IF(P89&lt;=0,"***",pipe(AH89,AK89,AN89,AO89,1))</f>
        <v>26.669999999999998</v>
      </c>
      <c r="L89" s="533"/>
      <c r="M89" s="60">
        <f>IF(P89&lt;=0,"***",pipe(AH89,AK89,AN89,AO89,2))</f>
        <v>2.8702</v>
      </c>
      <c r="N89" s="379">
        <f>IF(P89&lt;=0,"***",N86)</f>
        <v>200</v>
      </c>
      <c r="O89" s="379"/>
      <c r="P89" s="326">
        <v>1</v>
      </c>
      <c r="Q89" s="553"/>
      <c r="R89" s="564">
        <f>IF(P89&lt;=0,0,PI()/4*(K89^2-(K89-2*M89)^2)*N89/10^9*P89*AD89*1000)</f>
        <v>0.3369263620523431</v>
      </c>
      <c r="S89" s="565"/>
      <c r="T89" s="61">
        <v>1</v>
      </c>
      <c r="U89" s="542">
        <f aca="true" t="shared" si="29" ref="U89:U95">R89*T89</f>
        <v>0.3369263620523431</v>
      </c>
      <c r="V89" s="543"/>
      <c r="W89" s="416">
        <f>IF(AI89="pipe",cost_pipe(AK89,$AF$83),cost_forging(AK89,M89,$AF$83))</f>
        <v>3000</v>
      </c>
      <c r="X89" s="417"/>
      <c r="Y89" s="418"/>
      <c r="Z89" s="412">
        <f t="shared" si="25"/>
        <v>1010.7790861570294</v>
      </c>
      <c r="AA89" s="379"/>
      <c r="AB89" s="379"/>
      <c r="AC89" s="2"/>
      <c r="AD89" s="2">
        <f>mindex(AK89,-1)</f>
        <v>7.85</v>
      </c>
      <c r="AE89" s="2"/>
      <c r="AF89" s="2"/>
      <c r="AG89" s="2"/>
      <c r="AH89" s="158" t="str">
        <f>AH86</f>
        <v>ASTM</v>
      </c>
      <c r="AI89" s="2" t="str">
        <f>AI86</f>
        <v>pipe</v>
      </c>
      <c r="AJ89" s="2"/>
      <c r="AK89" s="2" t="str">
        <f>AK86</f>
        <v>A 106-B</v>
      </c>
      <c r="AL89" s="2"/>
      <c r="AM89" s="2"/>
      <c r="AN89" s="76" t="str">
        <f>IF(OR(AH89="ASTM",AH89="ASME"),"3/4""","20 A")</f>
        <v>3/4"</v>
      </c>
      <c r="AO89" s="5" t="str">
        <f>AO86</f>
        <v>Sch.40</v>
      </c>
      <c r="AP89" s="2"/>
      <c r="AQ89" s="2"/>
      <c r="AR89" s="2"/>
      <c r="AS89" s="69"/>
      <c r="AT89" s="69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2.75" customHeight="1">
      <c r="A90" s="531"/>
      <c r="B90" s="531"/>
      <c r="C90" s="54" t="s">
        <v>352</v>
      </c>
      <c r="D90" s="54"/>
      <c r="E90" s="54"/>
      <c r="F90" s="121" t="str">
        <f t="shared" si="28"/>
        <v> A 105</v>
      </c>
      <c r="G90" s="54"/>
      <c r="H90" s="54"/>
      <c r="I90" s="122"/>
      <c r="J90" s="123"/>
      <c r="K90" s="562">
        <f>IF(P90&lt;=0,"***",STD_flange(AN90,AO90,AP90,AN89,-1))</f>
        <v>98.55199999999999</v>
      </c>
      <c r="L90" s="563"/>
      <c r="M90" s="124">
        <f>IF(P90&lt;=0,"***",STD_flange(AN90,AO90,AP90,AN89,8))</f>
        <v>11.1</v>
      </c>
      <c r="N90" s="541">
        <f>IF(P90&lt;=0,"***",STD_flange(AN90,AO90,AP90,AN89,16)/7.85*AD90)</f>
        <v>0.73</v>
      </c>
      <c r="O90" s="541"/>
      <c r="P90" s="459">
        <f>IF(AF90&lt;&gt;"Flanged",0,P89)</f>
        <v>1</v>
      </c>
      <c r="Q90" s="434"/>
      <c r="R90" s="568">
        <f>IF(P90&lt;=0,0,N90*P90)</f>
        <v>0.73</v>
      </c>
      <c r="S90" s="569"/>
      <c r="T90" s="125">
        <v>1</v>
      </c>
      <c r="U90" s="550">
        <f t="shared" si="29"/>
        <v>0.73</v>
      </c>
      <c r="V90" s="551"/>
      <c r="W90" s="407">
        <f>IF(P90&lt;=0,0,cost_flange(AK90,AN89,AP90,$AF$83))</f>
        <v>7500</v>
      </c>
      <c r="X90" s="407"/>
      <c r="Y90" s="407"/>
      <c r="Z90" s="430">
        <f>P90*W90</f>
        <v>7500</v>
      </c>
      <c r="AA90" s="407"/>
      <c r="AB90" s="407"/>
      <c r="AC90" s="2"/>
      <c r="AD90" s="2">
        <f>mindex(AK90,-1)</f>
        <v>7.85</v>
      </c>
      <c r="AE90" s="2"/>
      <c r="AF90" s="2" t="str">
        <f>AF88</f>
        <v>Flanged</v>
      </c>
      <c r="AG90" s="2"/>
      <c r="AH90" s="158" t="str">
        <f aca="true" t="shared" si="30" ref="AH90:AI92">AH88</f>
        <v>ASTM</v>
      </c>
      <c r="AI90" s="2" t="str">
        <f t="shared" si="30"/>
        <v>forging</v>
      </c>
      <c r="AJ90" s="2"/>
      <c r="AK90" s="2" t="str">
        <f>AK88</f>
        <v>A 105</v>
      </c>
      <c r="AL90" s="2"/>
      <c r="AM90" s="2"/>
      <c r="AN90" s="158" t="str">
        <f>AN88</f>
        <v>ANSI</v>
      </c>
      <c r="AO90" s="2" t="str">
        <f>AO88</f>
        <v>WN</v>
      </c>
      <c r="AP90" s="2" t="str">
        <f>AP88</f>
        <v>150 lb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2.75" customHeight="1">
      <c r="A91" s="465" t="s">
        <v>400</v>
      </c>
      <c r="B91" s="465"/>
      <c r="C91" s="32" t="s">
        <v>350</v>
      </c>
      <c r="D91" s="32"/>
      <c r="E91" s="143" t="str">
        <f>AN91</f>
        <v>3/4"</v>
      </c>
      <c r="F91" s="58" t="str">
        <f t="shared" si="28"/>
        <v> A 106-B</v>
      </c>
      <c r="G91" s="32"/>
      <c r="H91" s="32"/>
      <c r="I91" s="83"/>
      <c r="J91" s="59"/>
      <c r="K91" s="532">
        <f>IF(P91&lt;=0,"***",pipe(AH91,AK91,AN91,AO91,1))</f>
        <v>26.669999999999998</v>
      </c>
      <c r="L91" s="533"/>
      <c r="M91" s="60">
        <f>IF(P91&lt;=0,"***",pipe(AH91,AK91,AN91,AO91,2))</f>
        <v>2.8702</v>
      </c>
      <c r="N91" s="379">
        <f>N83</f>
        <v>200</v>
      </c>
      <c r="O91" s="379"/>
      <c r="P91" s="326">
        <v>1</v>
      </c>
      <c r="Q91" s="553"/>
      <c r="R91" s="564">
        <f>IF(P91&lt;=0,0,PI()/4*(K91^2-(K91-2*M91)^2)*N91/10^9*P91*AD91*1000)</f>
        <v>0.3369263620523431</v>
      </c>
      <c r="S91" s="565"/>
      <c r="T91" s="61">
        <v>1</v>
      </c>
      <c r="U91" s="542">
        <f t="shared" si="29"/>
        <v>0.3369263620523431</v>
      </c>
      <c r="V91" s="543"/>
      <c r="W91" s="379">
        <f>IF(AI91="pipe",cost_pipe(AK91,$AF$83),cost_forging(AK91,M91,$AF$83))</f>
        <v>3000</v>
      </c>
      <c r="X91" s="379"/>
      <c r="Y91" s="379"/>
      <c r="Z91" s="412">
        <f t="shared" si="25"/>
        <v>1010.7790861570294</v>
      </c>
      <c r="AA91" s="379"/>
      <c r="AB91" s="379"/>
      <c r="AC91" s="2"/>
      <c r="AD91" s="2">
        <f>mindex(AK91,-1)</f>
        <v>7.85</v>
      </c>
      <c r="AE91" s="2"/>
      <c r="AF91" s="2"/>
      <c r="AG91" s="2"/>
      <c r="AH91" s="158" t="str">
        <f t="shared" si="30"/>
        <v>ASTM</v>
      </c>
      <c r="AI91" s="2" t="str">
        <f t="shared" si="30"/>
        <v>pipe</v>
      </c>
      <c r="AJ91" s="2"/>
      <c r="AK91" s="2" t="str">
        <f>AK89</f>
        <v>A 106-B</v>
      </c>
      <c r="AL91" s="2"/>
      <c r="AM91" s="2"/>
      <c r="AN91" s="2" t="str">
        <f>AN89</f>
        <v>3/4"</v>
      </c>
      <c r="AO91" s="5" t="str">
        <f>AO89</f>
        <v>Sch.40</v>
      </c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2.75" customHeight="1">
      <c r="A92" s="487"/>
      <c r="B92" s="487"/>
      <c r="C92" s="54" t="s">
        <v>352</v>
      </c>
      <c r="D92" s="54"/>
      <c r="E92" s="54"/>
      <c r="F92" s="121" t="str">
        <f t="shared" si="28"/>
        <v> A 105</v>
      </c>
      <c r="G92" s="54"/>
      <c r="H92" s="54"/>
      <c r="I92" s="122"/>
      <c r="J92" s="123"/>
      <c r="K92" s="562">
        <f>IF(P92&lt;=0,"***",STD_flange(AN92,AO92,AP92,AN91,-1))</f>
        <v>98.55199999999999</v>
      </c>
      <c r="L92" s="563"/>
      <c r="M92" s="124">
        <f>IF(P92&lt;=0,"***",STD_flange(AN92,AO92,AP92,AN91,8))</f>
        <v>11.1</v>
      </c>
      <c r="N92" s="541">
        <f>IF(P92&lt;=0,"***",STD_flange(AN92,AO92,AP92,AN91,16)/7.85*AD92)</f>
        <v>0.73</v>
      </c>
      <c r="O92" s="541"/>
      <c r="P92" s="459">
        <f>IF(AF92&lt;&gt;"Flanged",0,P91)</f>
        <v>1</v>
      </c>
      <c r="Q92" s="434"/>
      <c r="R92" s="568">
        <f>IF(P92&lt;=0,0,N92*P92)</f>
        <v>0.73</v>
      </c>
      <c r="S92" s="569"/>
      <c r="T92" s="125">
        <v>1</v>
      </c>
      <c r="U92" s="550">
        <f t="shared" si="29"/>
        <v>0.73</v>
      </c>
      <c r="V92" s="551"/>
      <c r="W92" s="407">
        <f>IF(P92&lt;=0,0,cost_flange(AK92,AN91,AP92,$AF$83))</f>
        <v>7500</v>
      </c>
      <c r="X92" s="407"/>
      <c r="Y92" s="407"/>
      <c r="Z92" s="430">
        <f>P92*W92</f>
        <v>7500</v>
      </c>
      <c r="AA92" s="407"/>
      <c r="AB92" s="407"/>
      <c r="AC92" s="2"/>
      <c r="AD92" s="2">
        <f>mindex(AK92,-1)</f>
        <v>7.85</v>
      </c>
      <c r="AE92" s="2"/>
      <c r="AF92" s="2" t="str">
        <f>AF90</f>
        <v>Flanged</v>
      </c>
      <c r="AG92" s="2"/>
      <c r="AH92" s="158" t="str">
        <f t="shared" si="30"/>
        <v>ASTM</v>
      </c>
      <c r="AI92" s="2" t="str">
        <f t="shared" si="30"/>
        <v>forging</v>
      </c>
      <c r="AJ92" s="2"/>
      <c r="AK92" s="2" t="str">
        <f>AK90</f>
        <v>A 105</v>
      </c>
      <c r="AL92" s="2"/>
      <c r="AM92" s="2"/>
      <c r="AN92" s="158" t="str">
        <f>AN90</f>
        <v>ANSI</v>
      </c>
      <c r="AO92" s="2" t="str">
        <f>AO90</f>
        <v>WN</v>
      </c>
      <c r="AP92" s="2" t="str">
        <f>AP90</f>
        <v>150 lb</v>
      </c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2.75" customHeight="1">
      <c r="A93" s="45" t="s">
        <v>478</v>
      </c>
      <c r="B93" s="31"/>
      <c r="C93" s="31"/>
      <c r="D93" s="31"/>
      <c r="E93" s="31"/>
      <c r="F93" s="70" t="str">
        <f>IF(P93&lt;=0,"***"," "&amp;AL93)</f>
        <v>***</v>
      </c>
      <c r="G93" s="31"/>
      <c r="H93" s="31"/>
      <c r="I93" s="82"/>
      <c r="J93" s="215" t="s">
        <v>2</v>
      </c>
      <c r="K93" s="645" t="str">
        <f>IF(P93&lt;=0,"***",AG93)</f>
        <v>***</v>
      </c>
      <c r="L93" s="707"/>
      <c r="M93" s="57" t="str">
        <f>IF(P93&lt;=0,"***",AO93)</f>
        <v>***</v>
      </c>
      <c r="N93" s="654"/>
      <c r="O93" s="654"/>
      <c r="P93" s="457">
        <f>IF(AQ93&lt;&gt;"Provided",0,1)</f>
        <v>0</v>
      </c>
      <c r="Q93" s="474"/>
      <c r="R93" s="636">
        <f>IF(P93&lt;=0,0,K93*M93/1000*P93*AD93*IF(AI11="U",1,2))</f>
        <v>0</v>
      </c>
      <c r="S93" s="637"/>
      <c r="T93" s="55">
        <v>1</v>
      </c>
      <c r="U93" s="566">
        <f t="shared" si="29"/>
        <v>0</v>
      </c>
      <c r="V93" s="567"/>
      <c r="W93" s="507"/>
      <c r="X93" s="507"/>
      <c r="Y93" s="507"/>
      <c r="Z93" s="419">
        <f t="shared" si="25"/>
        <v>0</v>
      </c>
      <c r="AA93" s="417"/>
      <c r="AB93" s="417"/>
      <c r="AC93" s="69"/>
      <c r="AD93" s="69">
        <f>data_file($AF$3,$AM$3,AY93,AZ93)</f>
        <v>80</v>
      </c>
      <c r="AE93" s="69" t="s">
        <v>379</v>
      </c>
      <c r="AF93" s="69"/>
      <c r="AG93" s="69">
        <f>data_file($AF$3,$AE$9,AI93,AJ93)</f>
        <v>2.010834434562385</v>
      </c>
      <c r="AH93" s="69" t="s">
        <v>381</v>
      </c>
      <c r="AI93" s="79">
        <v>21</v>
      </c>
      <c r="AJ93" s="79">
        <v>34</v>
      </c>
      <c r="AK93" s="69" t="str">
        <f>data_file($AF$3,$AM$3,AS93,AT93)</f>
        <v>Mineral Wool</v>
      </c>
      <c r="AL93" s="69"/>
      <c r="AM93" s="512">
        <f>AM56</f>
        <v>2500</v>
      </c>
      <c r="AN93" s="512"/>
      <c r="AO93" s="69" t="str">
        <f>data_file($AF$3,$AM$3,AU93,AV93)</f>
        <v>- N/A -</v>
      </c>
      <c r="AP93" s="69" t="s">
        <v>380</v>
      </c>
      <c r="AQ93" s="69" t="str">
        <f>AQ56</f>
        <v>- N/A -</v>
      </c>
      <c r="AR93" s="69"/>
      <c r="AS93" s="79">
        <v>65</v>
      </c>
      <c r="AT93" s="79">
        <v>26</v>
      </c>
      <c r="AU93" s="79">
        <v>54</v>
      </c>
      <c r="AV93" s="79">
        <v>15</v>
      </c>
      <c r="AW93" s="69"/>
      <c r="AX93" s="69"/>
      <c r="AY93" s="69">
        <f>AS93</f>
        <v>65</v>
      </c>
      <c r="AZ93" s="79">
        <v>34</v>
      </c>
      <c r="BA93" s="2"/>
      <c r="BB93" s="2"/>
      <c r="BC93" s="2"/>
      <c r="BD93" s="2"/>
      <c r="BG93" s="2"/>
    </row>
    <row r="94" spans="1:52" ht="12.75" customHeight="1">
      <c r="A94" s="32"/>
      <c r="B94" s="32" t="s">
        <v>463</v>
      </c>
      <c r="C94" s="32"/>
      <c r="D94" s="32"/>
      <c r="E94" s="32"/>
      <c r="F94" s="121" t="str">
        <f>IF(P94&lt;=0,"***"," "&amp;AK94)</f>
        <v>***</v>
      </c>
      <c r="G94" s="54"/>
      <c r="H94" s="54"/>
      <c r="I94" s="122"/>
      <c r="J94" s="159" t="str">
        <f>J93</f>
        <v>m2 &gt;</v>
      </c>
      <c r="K94" s="562" t="str">
        <f>IF(P94&lt;=0,"***",AG94)</f>
        <v>***</v>
      </c>
      <c r="L94" s="563"/>
      <c r="M94" s="124" t="str">
        <f>IF(P94&lt;=0,"***",AO94)</f>
        <v>***</v>
      </c>
      <c r="N94" s="561"/>
      <c r="O94" s="561"/>
      <c r="P94" s="459">
        <f>P93</f>
        <v>0</v>
      </c>
      <c r="Q94" s="434"/>
      <c r="R94" s="568">
        <f>IF(P94&lt;=0,0,K94*M94/1000*P94*AD94*1000)</f>
        <v>0</v>
      </c>
      <c r="S94" s="569"/>
      <c r="T94" s="125">
        <v>1</v>
      </c>
      <c r="U94" s="550">
        <f t="shared" si="29"/>
        <v>0</v>
      </c>
      <c r="V94" s="551"/>
      <c r="W94" s="552">
        <f>IF(P94&lt;=0,0,IF(AK94="Al",2700,IF(AK94="304 SS",3000,IF(AK94="316 SS",4500,IF(AK94="C.S.",W95)))))</f>
        <v>0</v>
      </c>
      <c r="X94" s="552"/>
      <c r="Y94" s="552"/>
      <c r="Z94" s="430">
        <f t="shared" si="25"/>
        <v>0</v>
      </c>
      <c r="AA94" s="407"/>
      <c r="AB94" s="407"/>
      <c r="AC94" s="2"/>
      <c r="AD94" s="149">
        <f>IF(AK94="Al",2.7,IF(AK94="304 SS",7.93,IF(AK94="316 SS",7.93,IF(AK94="C.S.",7.85))))</f>
        <v>2.7</v>
      </c>
      <c r="AE94" s="2"/>
      <c r="AF94" s="2"/>
      <c r="AG94" s="2">
        <f>AG93</f>
        <v>2.010834434562385</v>
      </c>
      <c r="AH94" s="2" t="s">
        <v>443</v>
      </c>
      <c r="AI94" s="2"/>
      <c r="AJ94" s="2"/>
      <c r="AK94" s="2" t="str">
        <f>data_file($AF$3,$AM$3,AS94,AT94)</f>
        <v>Al</v>
      </c>
      <c r="AL94" s="2"/>
      <c r="AM94" s="2"/>
      <c r="AN94" s="2"/>
      <c r="AO94" s="2">
        <f>data_file($AF$3,$AM$3,AU94,AV94)</f>
        <v>0</v>
      </c>
      <c r="AP94" s="2" t="s">
        <v>444</v>
      </c>
      <c r="AQ94" s="2" t="str">
        <f>AQ93</f>
        <v>- N/A -</v>
      </c>
      <c r="AR94" s="2"/>
      <c r="AS94" s="2">
        <f>AS93+1</f>
        <v>66</v>
      </c>
      <c r="AT94" s="2">
        <f>AT93</f>
        <v>26</v>
      </c>
      <c r="AU94" s="2">
        <f>AS94</f>
        <v>66</v>
      </c>
      <c r="AV94" s="2">
        <f>AT94+2</f>
        <v>28</v>
      </c>
      <c r="AW94" s="2"/>
      <c r="AX94" s="2"/>
      <c r="AY94" s="2"/>
      <c r="AZ94" s="2"/>
    </row>
    <row r="95" spans="1:59" ht="12.75" customHeight="1">
      <c r="A95" s="33"/>
      <c r="B95" s="33" t="s">
        <v>398</v>
      </c>
      <c r="C95" s="33"/>
      <c r="D95" s="33"/>
      <c r="E95" s="33"/>
      <c r="F95" s="133"/>
      <c r="G95" s="33"/>
      <c r="H95" s="148"/>
      <c r="I95" s="33"/>
      <c r="J95" s="134"/>
      <c r="K95" s="545"/>
      <c r="L95" s="500"/>
      <c r="M95" s="135"/>
      <c r="N95" s="406"/>
      <c r="O95" s="406"/>
      <c r="P95" s="557"/>
      <c r="Q95" s="449"/>
      <c r="R95" s="450"/>
      <c r="S95" s="584"/>
      <c r="T95" s="136">
        <v>1</v>
      </c>
      <c r="U95" s="585">
        <f t="shared" si="29"/>
        <v>0</v>
      </c>
      <c r="V95" s="586"/>
      <c r="W95" s="404"/>
      <c r="X95" s="404"/>
      <c r="Y95" s="404"/>
      <c r="Z95" s="415">
        <f t="shared" si="25"/>
        <v>0</v>
      </c>
      <c r="AA95" s="406"/>
      <c r="AB95" s="406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2"/>
      <c r="BB95" s="2"/>
      <c r="BC95" s="2"/>
      <c r="BD95" s="2"/>
      <c r="BE95" s="2"/>
      <c r="BF95" s="2"/>
      <c r="BG95" s="2"/>
    </row>
    <row r="96" spans="1:59" ht="12.75" customHeight="1">
      <c r="A96" s="154" t="s">
        <v>397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641"/>
      <c r="S96" s="642"/>
      <c r="T96" s="132"/>
      <c r="U96" s="546"/>
      <c r="V96" s="547"/>
      <c r="W96" s="548" t="s">
        <v>386</v>
      </c>
      <c r="X96" s="549"/>
      <c r="Y96" s="549"/>
      <c r="Z96" s="411"/>
      <c r="AA96" s="409"/>
      <c r="AB96" s="409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2.75" customHeight="1">
      <c r="A97" s="32" t="s">
        <v>383</v>
      </c>
      <c r="B97" s="32"/>
      <c r="C97" s="32"/>
      <c r="D97" s="32"/>
      <c r="E97" s="32"/>
      <c r="F97" s="58"/>
      <c r="G97" s="32"/>
      <c r="H97" s="32"/>
      <c r="I97" s="83"/>
      <c r="J97" s="59"/>
      <c r="K97" s="532"/>
      <c r="L97" s="533"/>
      <c r="M97" s="60"/>
      <c r="N97" s="379"/>
      <c r="O97" s="379"/>
      <c r="P97" s="423">
        <f>IF(AF97&lt;&gt;"Yes",0,1)</f>
        <v>0</v>
      </c>
      <c r="Q97" s="422"/>
      <c r="R97" s="564"/>
      <c r="S97" s="565"/>
      <c r="T97" s="61">
        <v>1</v>
      </c>
      <c r="U97" s="542">
        <f>R97*T97</f>
        <v>0</v>
      </c>
      <c r="V97" s="543"/>
      <c r="W97" s="382">
        <v>1000000</v>
      </c>
      <c r="X97" s="382"/>
      <c r="Y97" s="382"/>
      <c r="Z97" s="412">
        <f>P97*W97</f>
        <v>0</v>
      </c>
      <c r="AA97" s="379"/>
      <c r="AB97" s="379"/>
      <c r="AC97" s="32"/>
      <c r="AD97" s="32"/>
      <c r="AE97" s="32"/>
      <c r="AF97" s="32" t="str">
        <f>data_file($AF$3,$AM$3,AH97,AI97)</f>
        <v>- N/A -</v>
      </c>
      <c r="AG97" s="32"/>
      <c r="AH97" s="147">
        <v>51</v>
      </c>
      <c r="AI97" s="147">
        <v>6</v>
      </c>
      <c r="AJ97" s="32"/>
      <c r="AK97" s="32"/>
      <c r="AL97" s="32"/>
      <c r="AM97" s="32"/>
      <c r="AN97" s="32"/>
      <c r="AO97" s="32"/>
      <c r="AP97" s="3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2.75" customHeight="1">
      <c r="A98" s="705" t="s">
        <v>67</v>
      </c>
      <c r="B98" s="705"/>
      <c r="C98" s="32" t="s">
        <v>52</v>
      </c>
      <c r="D98" s="32"/>
      <c r="E98" s="143" t="str">
        <f>IF(P98&lt;=0,"***",AG98)</f>
        <v>***</v>
      </c>
      <c r="F98" s="58"/>
      <c r="G98" s="32"/>
      <c r="H98" s="89"/>
      <c r="I98" s="32"/>
      <c r="J98" s="59"/>
      <c r="K98" s="539"/>
      <c r="L98" s="554"/>
      <c r="M98" s="60"/>
      <c r="N98" s="412"/>
      <c r="O98" s="540"/>
      <c r="P98" s="555">
        <f>IF(AF98&lt;&gt;"Yes",0,AH98)</f>
        <v>0</v>
      </c>
      <c r="Q98" s="556"/>
      <c r="R98" s="539"/>
      <c r="S98" s="554"/>
      <c r="T98" s="61">
        <v>1</v>
      </c>
      <c r="U98" s="412">
        <f>R98*T98</f>
        <v>0</v>
      </c>
      <c r="V98" s="540"/>
      <c r="W98" s="381">
        <v>2000000</v>
      </c>
      <c r="X98" s="382"/>
      <c r="Y98" s="383"/>
      <c r="Z98" s="412">
        <f>P98*W98</f>
        <v>0</v>
      </c>
      <c r="AA98" s="379"/>
      <c r="AB98" s="379"/>
      <c r="AC98" s="32"/>
      <c r="AD98" s="32"/>
      <c r="AE98" s="32"/>
      <c r="AF98" s="143" t="str">
        <f>data_file($AF$3,$AM$3,AK98,AL98)</f>
        <v>- N/A -</v>
      </c>
      <c r="AG98" s="234" t="str">
        <f>IF(data_file($AF$3,$AM$3,AM98,AN98)="???","***",data_file($AF$3,$AM$3,AM98,AN98))</f>
        <v>1 1/4"</v>
      </c>
      <c r="AH98" s="32">
        <f>IF(data_file($AF$3,$AM$3,AO98,AP98)="???",0,data_file($AF$3,$AM$3,AO98,AP98))</f>
        <v>1</v>
      </c>
      <c r="AI98" s="32"/>
      <c r="AJ98" s="32"/>
      <c r="AK98" s="147">
        <v>71</v>
      </c>
      <c r="AL98" s="147">
        <v>8</v>
      </c>
      <c r="AM98" s="32">
        <f>AK98+1</f>
        <v>72</v>
      </c>
      <c r="AN98" s="32">
        <f>AL98-3</f>
        <v>5</v>
      </c>
      <c r="AO98" s="32">
        <f>AK98+6</f>
        <v>77</v>
      </c>
      <c r="AP98" s="32">
        <f>AL98</f>
        <v>8</v>
      </c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2.75" customHeight="1">
      <c r="A99" s="706"/>
      <c r="B99" s="706"/>
      <c r="C99" s="32" t="s">
        <v>68</v>
      </c>
      <c r="D99" s="32"/>
      <c r="E99" s="143" t="str">
        <f>IF(P99&lt;=0,"***",AG99)</f>
        <v>***</v>
      </c>
      <c r="F99" s="58"/>
      <c r="G99" s="32"/>
      <c r="H99" s="89"/>
      <c r="I99" s="32"/>
      <c r="J99" s="59"/>
      <c r="K99" s="539"/>
      <c r="L99" s="554"/>
      <c r="M99" s="60"/>
      <c r="N99" s="412"/>
      <c r="O99" s="540"/>
      <c r="P99" s="555">
        <f>IF(AF99&lt;&gt;"Yes",0,AH99)</f>
        <v>0</v>
      </c>
      <c r="Q99" s="556"/>
      <c r="R99" s="539"/>
      <c r="S99" s="554"/>
      <c r="T99" s="61">
        <v>1</v>
      </c>
      <c r="U99" s="412">
        <f>R99*T99</f>
        <v>0</v>
      </c>
      <c r="V99" s="540"/>
      <c r="W99" s="381">
        <v>2000000</v>
      </c>
      <c r="X99" s="382"/>
      <c r="Y99" s="383"/>
      <c r="Z99" s="412">
        <f>P99*W99</f>
        <v>0</v>
      </c>
      <c r="AA99" s="379"/>
      <c r="AB99" s="379"/>
      <c r="AC99" s="32"/>
      <c r="AD99" s="32"/>
      <c r="AE99" s="32"/>
      <c r="AF99" s="143" t="str">
        <f>data_file($AF$3,$AM$3,AK99,AL99)</f>
        <v>- N/A -</v>
      </c>
      <c r="AG99" s="234" t="str">
        <f>IF(data_file($AF$3,$AM$3,AM99,AN99)="???","***",data_file($AF$3,$AM$3,AM99,AN99))</f>
        <v>2"</v>
      </c>
      <c r="AH99" s="32">
        <f>IF(data_file($AF$3,$AM$3,AO99,AP99)="???",0,data_file($AF$3,$AM$3,AO99,AP99))</f>
        <v>1</v>
      </c>
      <c r="AI99" s="32"/>
      <c r="AJ99" s="32"/>
      <c r="AK99" s="32">
        <f>AK98</f>
        <v>71</v>
      </c>
      <c r="AL99" s="147">
        <v>14</v>
      </c>
      <c r="AM99" s="32">
        <f>AK99+1</f>
        <v>72</v>
      </c>
      <c r="AN99" s="32">
        <f>AL99-3</f>
        <v>11</v>
      </c>
      <c r="AO99" s="32">
        <f>AK99+6</f>
        <v>77</v>
      </c>
      <c r="AP99" s="32">
        <f>AL99</f>
        <v>14</v>
      </c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2.75" customHeight="1">
      <c r="A100" s="32" t="s">
        <v>384</v>
      </c>
      <c r="B100" s="32"/>
      <c r="C100" s="32"/>
      <c r="D100" s="32"/>
      <c r="E100" s="32"/>
      <c r="F100" s="58"/>
      <c r="G100" s="32"/>
      <c r="H100" s="32"/>
      <c r="I100" s="83"/>
      <c r="J100" s="59"/>
      <c r="K100" s="532"/>
      <c r="L100" s="533"/>
      <c r="M100" s="60"/>
      <c r="N100" s="379"/>
      <c r="O100" s="379"/>
      <c r="P100" s="423">
        <f>P89*1</f>
        <v>1</v>
      </c>
      <c r="Q100" s="422"/>
      <c r="R100" s="564">
        <f>P100*AD100</f>
        <v>2</v>
      </c>
      <c r="S100" s="565"/>
      <c r="T100" s="61">
        <v>1</v>
      </c>
      <c r="U100" s="542">
        <f aca="true" t="shared" si="31" ref="U100:U105">R100*T100</f>
        <v>2</v>
      </c>
      <c r="V100" s="543"/>
      <c r="W100" s="382">
        <v>50000</v>
      </c>
      <c r="X100" s="382"/>
      <c r="Y100" s="382"/>
      <c r="Z100" s="412">
        <f>P100*W100</f>
        <v>50000</v>
      </c>
      <c r="AA100" s="379"/>
      <c r="AB100" s="379"/>
      <c r="AC100" s="2"/>
      <c r="AD100" s="76">
        <v>2</v>
      </c>
      <c r="AE100" s="2" t="s">
        <v>391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2.75" customHeight="1">
      <c r="A101" s="54" t="s">
        <v>385</v>
      </c>
      <c r="B101" s="54"/>
      <c r="C101" s="54"/>
      <c r="D101" s="54"/>
      <c r="E101" s="54"/>
      <c r="F101" s="121"/>
      <c r="G101" s="54"/>
      <c r="H101" s="54"/>
      <c r="I101" s="122"/>
      <c r="J101" s="123"/>
      <c r="K101" s="562"/>
      <c r="L101" s="563"/>
      <c r="M101" s="124"/>
      <c r="N101" s="407"/>
      <c r="O101" s="407"/>
      <c r="P101" s="459">
        <f>P91*1</f>
        <v>1</v>
      </c>
      <c r="Q101" s="434"/>
      <c r="R101" s="568">
        <f>P101*AD101</f>
        <v>2</v>
      </c>
      <c r="S101" s="569"/>
      <c r="T101" s="125">
        <v>1</v>
      </c>
      <c r="U101" s="550">
        <f t="shared" si="31"/>
        <v>2</v>
      </c>
      <c r="V101" s="551"/>
      <c r="W101" s="407">
        <f>W100</f>
        <v>50000</v>
      </c>
      <c r="X101" s="407"/>
      <c r="Y101" s="407"/>
      <c r="Z101" s="430">
        <f>P101*W101</f>
        <v>50000</v>
      </c>
      <c r="AA101" s="407"/>
      <c r="AB101" s="407"/>
      <c r="AC101" s="2"/>
      <c r="AD101" s="2">
        <f>AD100</f>
        <v>2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2.75" customHeight="1">
      <c r="A102" s="45" t="s">
        <v>70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454"/>
      <c r="S102" s="640"/>
      <c r="T102" s="55">
        <v>1</v>
      </c>
      <c r="U102" s="566">
        <f t="shared" si="31"/>
        <v>0</v>
      </c>
      <c r="V102" s="567"/>
      <c r="W102" s="507"/>
      <c r="X102" s="507"/>
      <c r="Y102" s="507"/>
      <c r="Z102" s="419">
        <f>U102*W102</f>
        <v>0</v>
      </c>
      <c r="AA102" s="417"/>
      <c r="AB102" s="417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2.75" customHeight="1">
      <c r="A103" s="32"/>
      <c r="B103" s="32" t="s">
        <v>388</v>
      </c>
      <c r="C103" s="32"/>
      <c r="D103" s="32"/>
      <c r="E103" s="32"/>
      <c r="F103" s="58"/>
      <c r="G103" s="32"/>
      <c r="H103" s="89"/>
      <c r="I103" s="32"/>
      <c r="J103" s="59"/>
      <c r="K103" s="539"/>
      <c r="L103" s="479"/>
      <c r="M103" s="60"/>
      <c r="N103" s="379"/>
      <c r="O103" s="379"/>
      <c r="P103" s="423"/>
      <c r="Q103" s="422"/>
      <c r="R103" s="444"/>
      <c r="S103" s="544"/>
      <c r="T103" s="61">
        <v>1</v>
      </c>
      <c r="U103" s="542">
        <f t="shared" si="31"/>
        <v>0</v>
      </c>
      <c r="V103" s="543"/>
      <c r="W103" s="382"/>
      <c r="X103" s="382"/>
      <c r="Y103" s="382"/>
      <c r="Z103" s="412">
        <f>U103*W103</f>
        <v>0</v>
      </c>
      <c r="AA103" s="379"/>
      <c r="AB103" s="379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2.75" customHeight="1">
      <c r="A104" s="32"/>
      <c r="B104" s="32" t="s">
        <v>389</v>
      </c>
      <c r="C104" s="32"/>
      <c r="D104" s="32"/>
      <c r="E104" s="32"/>
      <c r="F104" s="58"/>
      <c r="G104" s="32"/>
      <c r="H104" s="89"/>
      <c r="I104" s="32"/>
      <c r="J104" s="59"/>
      <c r="K104" s="539"/>
      <c r="L104" s="479"/>
      <c r="M104" s="60"/>
      <c r="N104" s="379"/>
      <c r="O104" s="379"/>
      <c r="P104" s="423"/>
      <c r="Q104" s="422"/>
      <c r="R104" s="444"/>
      <c r="S104" s="544"/>
      <c r="T104" s="61">
        <v>1</v>
      </c>
      <c r="U104" s="542">
        <f t="shared" si="31"/>
        <v>0</v>
      </c>
      <c r="V104" s="543"/>
      <c r="W104" s="382"/>
      <c r="X104" s="382"/>
      <c r="Y104" s="382"/>
      <c r="Z104" s="412">
        <f>U104*W104</f>
        <v>0</v>
      </c>
      <c r="AA104" s="379"/>
      <c r="AB104" s="379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2.75" customHeight="1">
      <c r="A105" s="33"/>
      <c r="B105" s="33" t="s">
        <v>390</v>
      </c>
      <c r="C105" s="33"/>
      <c r="D105" s="33"/>
      <c r="E105" s="33"/>
      <c r="F105" s="133"/>
      <c r="G105" s="33"/>
      <c r="H105" s="148"/>
      <c r="I105" s="33"/>
      <c r="J105" s="134"/>
      <c r="K105" s="545"/>
      <c r="L105" s="500"/>
      <c r="M105" s="135"/>
      <c r="N105" s="406"/>
      <c r="O105" s="406"/>
      <c r="P105" s="557"/>
      <c r="Q105" s="449"/>
      <c r="R105" s="450"/>
      <c r="S105" s="584"/>
      <c r="T105" s="136">
        <v>1</v>
      </c>
      <c r="U105" s="585">
        <f t="shared" si="31"/>
        <v>0</v>
      </c>
      <c r="V105" s="586"/>
      <c r="W105" s="404"/>
      <c r="X105" s="404"/>
      <c r="Y105" s="404"/>
      <c r="Z105" s="415">
        <f>U105*W105</f>
        <v>0</v>
      </c>
      <c r="AA105" s="406"/>
      <c r="AB105" s="406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2.75" customHeight="1">
      <c r="A106" s="127"/>
      <c r="B106" s="127"/>
      <c r="C106" s="127"/>
      <c r="D106" s="127"/>
      <c r="E106" s="127"/>
      <c r="F106" s="128"/>
      <c r="G106" s="127"/>
      <c r="H106" s="166"/>
      <c r="I106" s="127"/>
      <c r="J106" s="130"/>
      <c r="K106" s="570"/>
      <c r="L106" s="489"/>
      <c r="M106" s="131"/>
      <c r="N106" s="409"/>
      <c r="O106" s="409"/>
      <c r="P106" s="442"/>
      <c r="Q106" s="439"/>
      <c r="R106" s="440"/>
      <c r="S106" s="639"/>
      <c r="T106" s="132">
        <v>1</v>
      </c>
      <c r="U106" s="546">
        <f>R106*T106</f>
        <v>0</v>
      </c>
      <c r="V106" s="547"/>
      <c r="W106" s="527"/>
      <c r="X106" s="527"/>
      <c r="Y106" s="527"/>
      <c r="Z106" s="411">
        <f>U106*W106</f>
        <v>0</v>
      </c>
      <c r="AA106" s="409"/>
      <c r="AB106" s="40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2.75" customHeight="1">
      <c r="A107" s="32"/>
      <c r="B107" s="32"/>
      <c r="C107" s="32"/>
      <c r="D107" s="32"/>
      <c r="E107" s="32"/>
      <c r="F107" s="58"/>
      <c r="G107" s="32"/>
      <c r="H107" s="89"/>
      <c r="I107" s="32"/>
      <c r="J107" s="59"/>
      <c r="K107" s="539"/>
      <c r="L107" s="479"/>
      <c r="M107" s="60"/>
      <c r="N107" s="379"/>
      <c r="O107" s="379"/>
      <c r="P107" s="423"/>
      <c r="Q107" s="422"/>
      <c r="R107" s="444"/>
      <c r="S107" s="544"/>
      <c r="T107" s="61">
        <v>1</v>
      </c>
      <c r="U107" s="542">
        <f aca="true" t="shared" si="32" ref="U107:U117">R107*T107</f>
        <v>0</v>
      </c>
      <c r="V107" s="543"/>
      <c r="W107" s="382"/>
      <c r="X107" s="382"/>
      <c r="Y107" s="382"/>
      <c r="Z107" s="412">
        <f aca="true" t="shared" si="33" ref="Z107:Z117">U107*W107</f>
        <v>0</v>
      </c>
      <c r="AA107" s="379"/>
      <c r="AB107" s="379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2.75" customHeight="1">
      <c r="A108" s="32"/>
      <c r="B108" s="32"/>
      <c r="C108" s="32"/>
      <c r="D108" s="32"/>
      <c r="E108" s="32"/>
      <c r="F108" s="58"/>
      <c r="G108" s="32"/>
      <c r="H108" s="89"/>
      <c r="I108" s="32"/>
      <c r="J108" s="59"/>
      <c r="K108" s="539"/>
      <c r="L108" s="479"/>
      <c r="M108" s="60"/>
      <c r="N108" s="379"/>
      <c r="O108" s="379"/>
      <c r="P108" s="423"/>
      <c r="Q108" s="422"/>
      <c r="R108" s="444"/>
      <c r="S108" s="544"/>
      <c r="T108" s="61">
        <v>1</v>
      </c>
      <c r="U108" s="542">
        <f t="shared" si="32"/>
        <v>0</v>
      </c>
      <c r="V108" s="543"/>
      <c r="W108" s="382"/>
      <c r="X108" s="382"/>
      <c r="Y108" s="382"/>
      <c r="Z108" s="412">
        <f t="shared" si="33"/>
        <v>0</v>
      </c>
      <c r="AA108" s="379"/>
      <c r="AB108" s="379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2.75" customHeight="1">
      <c r="A109" s="32"/>
      <c r="B109" s="32"/>
      <c r="C109" s="32"/>
      <c r="D109" s="32"/>
      <c r="E109" s="32"/>
      <c r="F109" s="58"/>
      <c r="G109" s="32"/>
      <c r="H109" s="89"/>
      <c r="I109" s="32"/>
      <c r="J109" s="59"/>
      <c r="K109" s="539"/>
      <c r="L109" s="479"/>
      <c r="M109" s="60"/>
      <c r="N109" s="379"/>
      <c r="O109" s="379"/>
      <c r="P109" s="423"/>
      <c r="Q109" s="422"/>
      <c r="R109" s="444"/>
      <c r="S109" s="544"/>
      <c r="T109" s="61">
        <v>1</v>
      </c>
      <c r="U109" s="542">
        <f t="shared" si="32"/>
        <v>0</v>
      </c>
      <c r="V109" s="543"/>
      <c r="W109" s="382"/>
      <c r="X109" s="382"/>
      <c r="Y109" s="382"/>
      <c r="Z109" s="412">
        <f t="shared" si="33"/>
        <v>0</v>
      </c>
      <c r="AA109" s="379"/>
      <c r="AB109" s="379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2.75" customHeight="1">
      <c r="A110" s="32"/>
      <c r="B110" s="32"/>
      <c r="C110" s="32"/>
      <c r="D110" s="32"/>
      <c r="E110" s="32"/>
      <c r="F110" s="58"/>
      <c r="G110" s="32"/>
      <c r="H110" s="89"/>
      <c r="I110" s="32"/>
      <c r="J110" s="59"/>
      <c r="K110" s="539"/>
      <c r="L110" s="479"/>
      <c r="M110" s="60"/>
      <c r="N110" s="379"/>
      <c r="O110" s="379"/>
      <c r="P110" s="423"/>
      <c r="Q110" s="422"/>
      <c r="R110" s="444"/>
      <c r="S110" s="544"/>
      <c r="T110" s="61">
        <v>1</v>
      </c>
      <c r="U110" s="542">
        <f t="shared" si="32"/>
        <v>0</v>
      </c>
      <c r="V110" s="543"/>
      <c r="W110" s="382"/>
      <c r="X110" s="382"/>
      <c r="Y110" s="382"/>
      <c r="Z110" s="412">
        <f t="shared" si="33"/>
        <v>0</v>
      </c>
      <c r="AA110" s="379"/>
      <c r="AB110" s="379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2.75" customHeight="1">
      <c r="A111" s="32"/>
      <c r="B111" s="32"/>
      <c r="C111" s="32"/>
      <c r="D111" s="32"/>
      <c r="E111" s="32"/>
      <c r="F111" s="58"/>
      <c r="G111" s="32"/>
      <c r="H111" s="89"/>
      <c r="I111" s="32"/>
      <c r="J111" s="59"/>
      <c r="K111" s="539"/>
      <c r="L111" s="479"/>
      <c r="M111" s="60"/>
      <c r="N111" s="379"/>
      <c r="O111" s="379"/>
      <c r="P111" s="423"/>
      <c r="Q111" s="422"/>
      <c r="R111" s="444"/>
      <c r="S111" s="544"/>
      <c r="T111" s="61">
        <v>1</v>
      </c>
      <c r="U111" s="542">
        <f>R111*T111</f>
        <v>0</v>
      </c>
      <c r="V111" s="543"/>
      <c r="W111" s="382"/>
      <c r="X111" s="382"/>
      <c r="Y111" s="382"/>
      <c r="Z111" s="412">
        <f>U111*W111</f>
        <v>0</v>
      </c>
      <c r="AA111" s="379"/>
      <c r="AB111" s="379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2.75" customHeight="1">
      <c r="A112" s="32"/>
      <c r="B112" s="32"/>
      <c r="C112" s="32"/>
      <c r="D112" s="32"/>
      <c r="E112" s="32"/>
      <c r="F112" s="58"/>
      <c r="G112" s="32"/>
      <c r="H112" s="89"/>
      <c r="I112" s="32"/>
      <c r="J112" s="59"/>
      <c r="K112" s="539"/>
      <c r="L112" s="479"/>
      <c r="M112" s="60"/>
      <c r="N112" s="379"/>
      <c r="O112" s="379"/>
      <c r="P112" s="423"/>
      <c r="Q112" s="422"/>
      <c r="R112" s="444"/>
      <c r="S112" s="544"/>
      <c r="T112" s="61">
        <v>1</v>
      </c>
      <c r="U112" s="542">
        <f>R112*T112</f>
        <v>0</v>
      </c>
      <c r="V112" s="543"/>
      <c r="W112" s="382"/>
      <c r="X112" s="382"/>
      <c r="Y112" s="382"/>
      <c r="Z112" s="412">
        <f>U112*W112</f>
        <v>0</v>
      </c>
      <c r="AA112" s="379"/>
      <c r="AB112" s="379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2.75" customHeight="1">
      <c r="A113" s="32"/>
      <c r="B113" s="32"/>
      <c r="C113" s="32"/>
      <c r="D113" s="32"/>
      <c r="E113" s="32"/>
      <c r="F113" s="58"/>
      <c r="G113" s="32"/>
      <c r="H113" s="89"/>
      <c r="I113" s="32"/>
      <c r="J113" s="59"/>
      <c r="K113" s="539"/>
      <c r="L113" s="479"/>
      <c r="M113" s="60"/>
      <c r="N113" s="379"/>
      <c r="O113" s="379"/>
      <c r="P113" s="423"/>
      <c r="Q113" s="422"/>
      <c r="R113" s="444"/>
      <c r="S113" s="544"/>
      <c r="T113" s="61">
        <v>1</v>
      </c>
      <c r="U113" s="542">
        <f>R113*T113</f>
        <v>0</v>
      </c>
      <c r="V113" s="543"/>
      <c r="W113" s="382"/>
      <c r="X113" s="382"/>
      <c r="Y113" s="382"/>
      <c r="Z113" s="412">
        <f>U113*W113</f>
        <v>0</v>
      </c>
      <c r="AA113" s="379"/>
      <c r="AB113" s="379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2.75" customHeight="1">
      <c r="A114" s="32"/>
      <c r="B114" s="32"/>
      <c r="C114" s="32"/>
      <c r="D114" s="32"/>
      <c r="E114" s="32"/>
      <c r="F114" s="58"/>
      <c r="G114" s="32"/>
      <c r="H114" s="89"/>
      <c r="I114" s="32"/>
      <c r="J114" s="59"/>
      <c r="K114" s="539"/>
      <c r="L114" s="479"/>
      <c r="M114" s="60"/>
      <c r="N114" s="379"/>
      <c r="O114" s="379"/>
      <c r="P114" s="423"/>
      <c r="Q114" s="422"/>
      <c r="R114" s="444"/>
      <c r="S114" s="544"/>
      <c r="T114" s="61">
        <v>1</v>
      </c>
      <c r="U114" s="542">
        <f>R114*T114</f>
        <v>0</v>
      </c>
      <c r="V114" s="543"/>
      <c r="W114" s="382"/>
      <c r="X114" s="382"/>
      <c r="Y114" s="382"/>
      <c r="Z114" s="412">
        <f>U114*W114</f>
        <v>0</v>
      </c>
      <c r="AA114" s="379"/>
      <c r="AB114" s="379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2.75" customHeight="1">
      <c r="A115" s="32"/>
      <c r="B115" s="32"/>
      <c r="C115" s="32"/>
      <c r="D115" s="32"/>
      <c r="E115" s="32"/>
      <c r="F115" s="58"/>
      <c r="G115" s="32"/>
      <c r="H115" s="89"/>
      <c r="I115" s="32"/>
      <c r="J115" s="59"/>
      <c r="K115" s="539"/>
      <c r="L115" s="479"/>
      <c r="M115" s="60"/>
      <c r="N115" s="379"/>
      <c r="O115" s="379"/>
      <c r="P115" s="423"/>
      <c r="Q115" s="422"/>
      <c r="R115" s="444"/>
      <c r="S115" s="544"/>
      <c r="T115" s="61">
        <v>1</v>
      </c>
      <c r="U115" s="542">
        <f t="shared" si="32"/>
        <v>0</v>
      </c>
      <c r="V115" s="543"/>
      <c r="W115" s="382"/>
      <c r="X115" s="382"/>
      <c r="Y115" s="382"/>
      <c r="Z115" s="412">
        <f t="shared" si="33"/>
        <v>0</v>
      </c>
      <c r="AA115" s="379"/>
      <c r="AB115" s="379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2.75" customHeight="1">
      <c r="A116" s="32"/>
      <c r="B116" s="32"/>
      <c r="C116" s="32"/>
      <c r="D116" s="32"/>
      <c r="E116" s="32"/>
      <c r="F116" s="58"/>
      <c r="G116" s="32"/>
      <c r="H116" s="89"/>
      <c r="I116" s="32"/>
      <c r="J116" s="59"/>
      <c r="K116" s="539"/>
      <c r="L116" s="479"/>
      <c r="M116" s="60"/>
      <c r="N116" s="379"/>
      <c r="O116" s="379"/>
      <c r="P116" s="423"/>
      <c r="Q116" s="422"/>
      <c r="R116" s="444"/>
      <c r="S116" s="544"/>
      <c r="T116" s="61">
        <v>1</v>
      </c>
      <c r="U116" s="542">
        <f t="shared" si="32"/>
        <v>0</v>
      </c>
      <c r="V116" s="543"/>
      <c r="W116" s="382"/>
      <c r="X116" s="382"/>
      <c r="Y116" s="382"/>
      <c r="Z116" s="412">
        <f t="shared" si="33"/>
        <v>0</v>
      </c>
      <c r="AA116" s="379"/>
      <c r="AB116" s="379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2.75" customHeight="1">
      <c r="A117" s="32"/>
      <c r="B117" s="32"/>
      <c r="C117" s="32"/>
      <c r="D117" s="32"/>
      <c r="E117" s="32"/>
      <c r="F117" s="58"/>
      <c r="G117" s="32"/>
      <c r="H117" s="89"/>
      <c r="I117" s="32"/>
      <c r="J117" s="59"/>
      <c r="K117" s="539"/>
      <c r="L117" s="479"/>
      <c r="M117" s="60"/>
      <c r="N117" s="379"/>
      <c r="O117" s="379"/>
      <c r="P117" s="423"/>
      <c r="Q117" s="422"/>
      <c r="R117" s="444"/>
      <c r="S117" s="544"/>
      <c r="T117" s="61">
        <v>1</v>
      </c>
      <c r="U117" s="542">
        <f t="shared" si="32"/>
        <v>0</v>
      </c>
      <c r="V117" s="543"/>
      <c r="W117" s="382"/>
      <c r="X117" s="382"/>
      <c r="Y117" s="382"/>
      <c r="Z117" s="415">
        <f t="shared" si="33"/>
        <v>0</v>
      </c>
      <c r="AA117" s="406"/>
      <c r="AB117" s="406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30" ht="12.7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90"/>
      <c r="N118" s="85"/>
      <c r="O118" s="529" t="s">
        <v>316</v>
      </c>
      <c r="P118" s="530"/>
      <c r="Q118" s="478">
        <f>SUM(R64:S117)</f>
        <v>731.9370297874864</v>
      </c>
      <c r="R118" s="478"/>
      <c r="S118" s="478"/>
      <c r="T118" s="478">
        <f>SUM(U64:V117)</f>
        <v>731.9370297874864</v>
      </c>
      <c r="U118" s="478"/>
      <c r="V118" s="478"/>
      <c r="W118" s="85"/>
      <c r="X118" s="529" t="s">
        <v>315</v>
      </c>
      <c r="Y118" s="530"/>
      <c r="Z118" s="661">
        <f>SUM(Z64:AB117)</f>
        <v>1297059.996085294</v>
      </c>
      <c r="AA118" s="661"/>
      <c r="AB118" s="661"/>
      <c r="AC118" s="5"/>
      <c r="AD118" s="2"/>
    </row>
    <row r="119" spans="1:30" ht="12.7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529" t="str">
        <f>R62</f>
        <v>실중량</v>
      </c>
      <c r="P119" s="530"/>
      <c r="Q119" s="631">
        <f>Q59+Q118</f>
        <v>4404.419796602995</v>
      </c>
      <c r="R119" s="631"/>
      <c r="S119" s="631"/>
      <c r="T119" s="631">
        <f>T59+T118</f>
        <v>4404.419796602995</v>
      </c>
      <c r="U119" s="631"/>
      <c r="V119" s="631"/>
      <c r="W119" s="85"/>
      <c r="X119" s="529" t="s">
        <v>321</v>
      </c>
      <c r="Y119" s="530"/>
      <c r="Z119" s="425">
        <f>Z59+Z118</f>
        <v>11267922.217716904</v>
      </c>
      <c r="AA119" s="425"/>
      <c r="AB119" s="425"/>
      <c r="AC119" s="5"/>
      <c r="AD119" s="2"/>
    </row>
    <row r="120" spans="1:29" ht="12.75" customHeight="1">
      <c r="A120" s="2" t="str">
        <f>A60</f>
        <v> NTES</v>
      </c>
      <c r="AB120" s="8" t="str">
        <f>AB60</f>
        <v>Narai Thermal Engineering Services </v>
      </c>
      <c r="AC120" s="2"/>
    </row>
    <row r="121" spans="1:38" ht="12.75" customHeight="1">
      <c r="A121" s="260">
        <v>2</v>
      </c>
      <c r="B121" s="501" t="s">
        <v>309</v>
      </c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  <c r="Y121" s="502"/>
      <c r="Z121" s="502"/>
      <c r="AA121" s="502"/>
      <c r="AB121" s="502"/>
      <c r="AC121" s="6"/>
      <c r="AF121" s="62" t="s">
        <v>35</v>
      </c>
      <c r="AG121" s="62" t="s">
        <v>37</v>
      </c>
      <c r="AK121" s="62" t="str">
        <f>AF121</f>
        <v>C.S.</v>
      </c>
      <c r="AL121" s="62" t="str">
        <f>AG121</f>
        <v>Alloy</v>
      </c>
    </row>
    <row r="122" spans="1:35" ht="12.75" customHeight="1">
      <c r="A122" s="485" t="s">
        <v>404</v>
      </c>
      <c r="B122" s="485"/>
      <c r="C122" s="485"/>
      <c r="D122" s="486"/>
      <c r="E122" s="168" t="s">
        <v>33</v>
      </c>
      <c r="F122" s="82"/>
      <c r="G122" s="82"/>
      <c r="H122" s="82"/>
      <c r="I122" s="82" t="s">
        <v>36</v>
      </c>
      <c r="J122" s="704">
        <f>U15*P15</f>
        <v>530.6289491703859</v>
      </c>
      <c r="K122" s="704"/>
      <c r="L122" s="82" t="s">
        <v>41</v>
      </c>
      <c r="M122" s="82"/>
      <c r="N122" s="2" t="str">
        <f>mindex(AK15,1)</f>
        <v>C.S.</v>
      </c>
      <c r="O122" s="82"/>
      <c r="P122" s="82"/>
      <c r="Q122" s="82"/>
      <c r="R122" s="82"/>
      <c r="S122" s="82"/>
      <c r="T122" s="419">
        <f>J122</f>
        <v>530.6289491703859</v>
      </c>
      <c r="U122" s="417"/>
      <c r="V122" s="82" t="s">
        <v>343</v>
      </c>
      <c r="W122" s="416">
        <f>IF(N122=AF121,AF122,IF(N122=AG121,AG122))</f>
        <v>200</v>
      </c>
      <c r="X122" s="417"/>
      <c r="Y122" s="418"/>
      <c r="Z122" s="379">
        <f>T122*W122</f>
        <v>106125.78983407718</v>
      </c>
      <c r="AA122" s="379"/>
      <c r="AB122" s="379"/>
      <c r="AC122" s="6"/>
      <c r="AD122" s="222" t="s">
        <v>34</v>
      </c>
      <c r="AF122" s="191">
        <v>200</v>
      </c>
      <c r="AG122" s="191">
        <v>300</v>
      </c>
      <c r="AI122" s="152" t="str">
        <f>O123</f>
        <v> Groove 가공</v>
      </c>
    </row>
    <row r="123" spans="1:38" ht="12.75" customHeight="1">
      <c r="A123" s="531"/>
      <c r="B123" s="531"/>
      <c r="C123" s="531"/>
      <c r="D123" s="534"/>
      <c r="E123" s="177" t="s">
        <v>420</v>
      </c>
      <c r="F123" s="122"/>
      <c r="G123" s="122"/>
      <c r="H123" s="122"/>
      <c r="I123" s="122" t="s">
        <v>286</v>
      </c>
      <c r="J123" s="448">
        <f>M15</f>
        <v>40</v>
      </c>
      <c r="K123" s="449"/>
      <c r="L123" s="428">
        <f>J123*IF(N122=AF121,AF123,IF(N122=AG121,AG123))</f>
        <v>800</v>
      </c>
      <c r="M123" s="407"/>
      <c r="N123" s="429"/>
      <c r="O123" s="122" t="s">
        <v>576</v>
      </c>
      <c r="P123" s="122"/>
      <c r="Q123" s="122"/>
      <c r="R123" s="122"/>
      <c r="S123" s="122"/>
      <c r="T123" s="430">
        <f>P14*2</f>
        <v>748</v>
      </c>
      <c r="U123" s="407"/>
      <c r="V123" s="122" t="s">
        <v>320</v>
      </c>
      <c r="W123" s="428">
        <f>IF(N122=AK121,AK123,IF(N122=AL121,AL123))</f>
        <v>600</v>
      </c>
      <c r="X123" s="407"/>
      <c r="Y123" s="429"/>
      <c r="Z123" s="407">
        <f>T123*(L123+W123)</f>
        <v>1047200</v>
      </c>
      <c r="AA123" s="407"/>
      <c r="AB123" s="407"/>
      <c r="AC123" s="6"/>
      <c r="AD123" s="222" t="s">
        <v>38</v>
      </c>
      <c r="AF123" s="191">
        <v>20</v>
      </c>
      <c r="AG123" s="191">
        <v>30</v>
      </c>
      <c r="AI123" s="222" t="s">
        <v>39</v>
      </c>
      <c r="AK123" s="191">
        <v>600</v>
      </c>
      <c r="AL123" s="191">
        <v>700</v>
      </c>
    </row>
    <row r="124" spans="1:45" ht="12.75" customHeight="1">
      <c r="A124" s="485" t="s">
        <v>406</v>
      </c>
      <c r="B124" s="485"/>
      <c r="C124" s="485"/>
      <c r="D124" s="486"/>
      <c r="E124" s="168" t="s">
        <v>414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419">
        <f>IF(AI11&lt;&gt;"U",0,P14)</f>
        <v>0</v>
      </c>
      <c r="U124" s="417"/>
      <c r="V124" s="82" t="s">
        <v>440</v>
      </c>
      <c r="W124" s="506">
        <v>6500</v>
      </c>
      <c r="X124" s="507"/>
      <c r="Y124" s="508"/>
      <c r="Z124" s="417">
        <f>T124*W124</f>
        <v>0</v>
      </c>
      <c r="AA124" s="417"/>
      <c r="AB124" s="417"/>
      <c r="AC124" s="6"/>
      <c r="AD124" s="2" t="s">
        <v>144</v>
      </c>
      <c r="AE124" s="2"/>
      <c r="AF124" s="144" t="s">
        <v>137</v>
      </c>
      <c r="AG124" s="2"/>
      <c r="AH124" s="144" t="s">
        <v>138</v>
      </c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2.75" customHeight="1">
      <c r="A125" s="531"/>
      <c r="B125" s="531"/>
      <c r="C125" s="531"/>
      <c r="D125" s="534"/>
      <c r="E125" s="169" t="str">
        <f>A138</f>
        <v> Shell</v>
      </c>
      <c r="F125" s="83"/>
      <c r="G125" s="83"/>
      <c r="H125" s="83"/>
      <c r="I125" s="83" t="s">
        <v>54</v>
      </c>
      <c r="J125" s="535">
        <f>IF(AI20="pipe",0,R20)</f>
        <v>1064.9507499250965</v>
      </c>
      <c r="K125" s="535"/>
      <c r="L125" s="83"/>
      <c r="M125" s="83"/>
      <c r="N125" s="83"/>
      <c r="O125" s="83"/>
      <c r="P125" s="83"/>
      <c r="Q125" s="83"/>
      <c r="R125" s="83"/>
      <c r="S125" s="83"/>
      <c r="T125" s="412">
        <f>J125</f>
        <v>1064.9507499250965</v>
      </c>
      <c r="U125" s="379"/>
      <c r="V125" s="83" t="s">
        <v>58</v>
      </c>
      <c r="W125" s="378">
        <f>AF125</f>
        <v>500</v>
      </c>
      <c r="X125" s="379"/>
      <c r="Y125" s="380"/>
      <c r="Z125" s="379">
        <f aca="true" t="shared" si="34" ref="Z125:Z131">T125*W125</f>
        <v>532475.3749625483</v>
      </c>
      <c r="AA125" s="379"/>
      <c r="AB125" s="379"/>
      <c r="AC125" s="6"/>
      <c r="AD125" s="252" t="s">
        <v>34</v>
      </c>
      <c r="AE125" s="2"/>
      <c r="AF125" s="126">
        <v>500</v>
      </c>
      <c r="AG125" s="2"/>
      <c r="AH125" s="126">
        <v>850</v>
      </c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2.75" customHeight="1">
      <c r="A126" s="531"/>
      <c r="B126" s="531"/>
      <c r="C126" s="531"/>
      <c r="D126" s="534"/>
      <c r="E126" s="169" t="str">
        <f>A139</f>
        <v> Channel</v>
      </c>
      <c r="F126" s="83"/>
      <c r="G126" s="83"/>
      <c r="H126" s="83"/>
      <c r="I126" s="83" t="str">
        <f>I125</f>
        <v>Wt.</v>
      </c>
      <c r="J126" s="535">
        <f>IF(AI65="pipe",0,R65+R74)</f>
        <v>319.3113554673371</v>
      </c>
      <c r="K126" s="535"/>
      <c r="L126" s="83"/>
      <c r="M126" s="83"/>
      <c r="N126" s="83"/>
      <c r="O126" s="83"/>
      <c r="P126" s="83"/>
      <c r="Q126" s="83"/>
      <c r="R126" s="83"/>
      <c r="S126" s="83"/>
      <c r="T126" s="412">
        <f>J126</f>
        <v>319.3113554673371</v>
      </c>
      <c r="U126" s="379"/>
      <c r="V126" s="83" t="str">
        <f>V125</f>
        <v>kg</v>
      </c>
      <c r="W126" s="378">
        <f>W125</f>
        <v>500</v>
      </c>
      <c r="X126" s="379"/>
      <c r="Y126" s="380"/>
      <c r="Z126" s="379">
        <f t="shared" si="34"/>
        <v>159655.67773366853</v>
      </c>
      <c r="AA126" s="379"/>
      <c r="AB126" s="379"/>
      <c r="AC126" s="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59" ht="12.75" customHeight="1">
      <c r="A127" s="531"/>
      <c r="B127" s="531"/>
      <c r="C127" s="531"/>
      <c r="D127" s="534"/>
      <c r="E127" s="121" t="s">
        <v>417</v>
      </c>
      <c r="F127" s="54"/>
      <c r="G127" s="54"/>
      <c r="H127" s="54"/>
      <c r="I127" s="54" t="str">
        <f>I125</f>
        <v>Wt.</v>
      </c>
      <c r="J127" s="535">
        <f>R52</f>
        <v>25.202646684</v>
      </c>
      <c r="K127" s="535"/>
      <c r="L127" s="54"/>
      <c r="M127" s="54"/>
      <c r="N127" s="54"/>
      <c r="O127" s="54"/>
      <c r="P127" s="54"/>
      <c r="Q127" s="54"/>
      <c r="R127" s="54"/>
      <c r="S127" s="54"/>
      <c r="T127" s="430">
        <f>J127</f>
        <v>25.202646684</v>
      </c>
      <c r="U127" s="407"/>
      <c r="V127" s="54" t="str">
        <f>V125</f>
        <v>kg</v>
      </c>
      <c r="W127" s="428">
        <f>W125/3</f>
        <v>166.66666666666666</v>
      </c>
      <c r="X127" s="407"/>
      <c r="Y127" s="429"/>
      <c r="Z127" s="407">
        <f t="shared" si="34"/>
        <v>4200.441114</v>
      </c>
      <c r="AA127" s="407"/>
      <c r="AB127" s="407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45" ht="12.75" customHeight="1">
      <c r="A128" s="531"/>
      <c r="B128" s="531"/>
      <c r="C128" s="531"/>
      <c r="D128" s="534"/>
      <c r="E128" s="170" t="s">
        <v>418</v>
      </c>
      <c r="F128" s="84"/>
      <c r="G128" s="84"/>
      <c r="H128" s="84"/>
      <c r="I128" s="84" t="str">
        <f>I125</f>
        <v>Wt.</v>
      </c>
      <c r="J128" s="535">
        <f>R32+R35+R84+R87</f>
        <v>94.62092368196836</v>
      </c>
      <c r="K128" s="535"/>
      <c r="L128" s="84"/>
      <c r="M128" s="84"/>
      <c r="N128" s="84"/>
      <c r="O128" s="84"/>
      <c r="P128" s="84"/>
      <c r="Q128" s="84"/>
      <c r="R128" s="84"/>
      <c r="S128" s="84"/>
      <c r="T128" s="415">
        <f>J128</f>
        <v>94.62092368196836</v>
      </c>
      <c r="U128" s="406"/>
      <c r="V128" s="84" t="str">
        <f>V125</f>
        <v>kg</v>
      </c>
      <c r="W128" s="413">
        <f>W125/5</f>
        <v>100</v>
      </c>
      <c r="X128" s="406"/>
      <c r="Y128" s="414"/>
      <c r="Z128" s="406">
        <f>T128*W128</f>
        <v>9462.092368196836</v>
      </c>
      <c r="AA128" s="406"/>
      <c r="AB128" s="406"/>
      <c r="AC128" s="6"/>
      <c r="AD128" s="2" t="s">
        <v>143</v>
      </c>
      <c r="AE128" s="2"/>
      <c r="AF128" s="144" t="s">
        <v>139</v>
      </c>
      <c r="AG128" s="2"/>
      <c r="AH128" s="144" t="s">
        <v>140</v>
      </c>
      <c r="AI128" s="2"/>
      <c r="AJ128" s="144" t="s">
        <v>141</v>
      </c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2.75" customHeight="1">
      <c r="A129" s="225" t="s">
        <v>407</v>
      </c>
      <c r="B129" s="225"/>
      <c r="C129" s="225"/>
      <c r="D129" s="226"/>
      <c r="E129" s="227" t="s">
        <v>55</v>
      </c>
      <c r="F129" s="85"/>
      <c r="G129" s="85"/>
      <c r="H129" s="228" t="s">
        <v>57</v>
      </c>
      <c r="I129" s="68" t="s">
        <v>54</v>
      </c>
      <c r="J129" s="714">
        <f>IF(P22&lt;=0,0,IF(AI20="pipe",0,R22))</f>
        <v>0</v>
      </c>
      <c r="K129" s="714"/>
      <c r="L129" s="68" t="str">
        <f>AF22</f>
        <v>***</v>
      </c>
      <c r="M129" s="68"/>
      <c r="N129" s="228" t="s">
        <v>56</v>
      </c>
      <c r="O129" s="68" t="s">
        <v>54</v>
      </c>
      <c r="P129" s="714">
        <f>IF(AI65="pipe",0,IF(P67&lt;=0,0,R67)+IF(P76&lt;=0,0,R76))</f>
        <v>79.4422512</v>
      </c>
      <c r="Q129" s="714"/>
      <c r="R129" s="68" t="str">
        <f>IF(AND(P67&lt;=0,P76&lt;=0),"***",IF(P67&gt;0,AF67,AF76))</f>
        <v>2:1 Ellipsoidal</v>
      </c>
      <c r="S129" s="68"/>
      <c r="T129" s="593">
        <f>J129+P129</f>
        <v>79.4422512</v>
      </c>
      <c r="U129" s="478"/>
      <c r="V129" s="85" t="s">
        <v>58</v>
      </c>
      <c r="W129" s="255">
        <f>IF(J129&lt;=0,0,IF(L129=AF128,AF129,IF(L129=AH128,AH129,IF(L129=AJ128,AJ129))))</f>
        <v>0</v>
      </c>
      <c r="X129" s="254" t="s">
        <v>142</v>
      </c>
      <c r="Y129" s="256">
        <f>IF(P129&lt;=0,0,IF(R129=AF128,AF129,IF(R129=AH128,AH129,IF(R129=AJ128,AJ129))))</f>
        <v>2000</v>
      </c>
      <c r="Z129" s="478">
        <f>J129*W129+P129*Y129</f>
        <v>158884.5024</v>
      </c>
      <c r="AA129" s="478"/>
      <c r="AB129" s="478"/>
      <c r="AC129" s="6"/>
      <c r="AD129" s="252" t="s">
        <v>34</v>
      </c>
      <c r="AE129" s="2"/>
      <c r="AF129" s="126">
        <v>2000</v>
      </c>
      <c r="AG129" s="2"/>
      <c r="AH129" s="126">
        <v>1500</v>
      </c>
      <c r="AI129" s="2"/>
      <c r="AJ129" s="253">
        <v>3000</v>
      </c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33" ht="12.75" customHeight="1">
      <c r="A130" s="485" t="s">
        <v>405</v>
      </c>
      <c r="B130" s="485"/>
      <c r="C130" s="485"/>
      <c r="D130" s="486"/>
      <c r="E130" s="168" t="s">
        <v>419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419"/>
      <c r="U130" s="417"/>
      <c r="V130" s="82" t="s">
        <v>435</v>
      </c>
      <c r="W130" s="506"/>
      <c r="X130" s="507"/>
      <c r="Y130" s="508"/>
      <c r="Z130" s="417">
        <f t="shared" si="34"/>
        <v>0</v>
      </c>
      <c r="AA130" s="417"/>
      <c r="AB130" s="417"/>
      <c r="AC130" s="6"/>
      <c r="AF130" s="62" t="str">
        <f>AF121</f>
        <v>C.S.</v>
      </c>
      <c r="AG130" s="62" t="str">
        <f>AG121</f>
        <v>Alloy</v>
      </c>
    </row>
    <row r="131" spans="1:33" ht="12.75" customHeight="1">
      <c r="A131" s="487"/>
      <c r="B131" s="487"/>
      <c r="C131" s="487"/>
      <c r="D131" s="488"/>
      <c r="E131" s="170" t="s">
        <v>420</v>
      </c>
      <c r="F131" s="84"/>
      <c r="G131" s="84"/>
      <c r="H131" s="84" t="s">
        <v>105</v>
      </c>
      <c r="I131" s="84" t="s">
        <v>106</v>
      </c>
      <c r="J131" s="84"/>
      <c r="K131" s="84">
        <f>P23</f>
        <v>13</v>
      </c>
      <c r="L131" s="84">
        <f>P24</f>
        <v>0</v>
      </c>
      <c r="M131" s="233" t="s">
        <v>108</v>
      </c>
      <c r="N131" s="48" t="s">
        <v>107</v>
      </c>
      <c r="O131" s="84">
        <f>INT(P14*IF(AI11&lt;&gt;"U",1,2)*(1-AR23))</f>
        <v>300</v>
      </c>
      <c r="P131" s="84">
        <f>IF(L131&lt;=0,0,INT(P14*IF(AI11&lt;&gt;"U",1,2)*(1-AR24)))</f>
        <v>0</v>
      </c>
      <c r="Q131" s="84" t="str">
        <f>mindex(AK23,1)</f>
        <v>C.S.</v>
      </c>
      <c r="R131" s="84">
        <f>M23</f>
        <v>10</v>
      </c>
      <c r="S131" s="84" t="s">
        <v>286</v>
      </c>
      <c r="T131" s="415">
        <f>K131*O131+L131*P131</f>
        <v>3900</v>
      </c>
      <c r="U131" s="406"/>
      <c r="V131" s="84" t="s">
        <v>320</v>
      </c>
      <c r="W131" s="413">
        <f>R131*IF(Q131=AF130,AF131,IF(Q131=AG130,AG131))</f>
        <v>250</v>
      </c>
      <c r="X131" s="406"/>
      <c r="Y131" s="414"/>
      <c r="Z131" s="406">
        <f t="shared" si="34"/>
        <v>975000</v>
      </c>
      <c r="AA131" s="406"/>
      <c r="AB131" s="406"/>
      <c r="AC131" s="6"/>
      <c r="AD131" s="1" t="str">
        <f>AD123</f>
        <v>원 / 두께</v>
      </c>
      <c r="AF131" s="191">
        <v>25</v>
      </c>
      <c r="AG131" s="191">
        <v>35</v>
      </c>
    </row>
    <row r="132" spans="1:29" ht="12.75" customHeight="1">
      <c r="A132" s="490" t="s">
        <v>150</v>
      </c>
      <c r="B132" s="490"/>
      <c r="C132" s="490"/>
      <c r="D132" s="490"/>
      <c r="E132" s="491">
        <v>200000</v>
      </c>
      <c r="F132" s="492"/>
      <c r="G132" s="492"/>
      <c r="H132" s="261" t="s">
        <v>151</v>
      </c>
      <c r="I132" s="259" t="s">
        <v>109</v>
      </c>
      <c r="J132" s="493">
        <f>2+IF(T124&lt;=0,0,2)+IF(AND(J129&lt;=0,P129&lt;=0),0,2)+2</f>
        <v>6</v>
      </c>
      <c r="K132" s="493"/>
      <c r="L132" s="261" t="s">
        <v>65</v>
      </c>
      <c r="M132" s="259" t="s">
        <v>152</v>
      </c>
      <c r="N132" s="478">
        <f>E132*J132</f>
        <v>1200000</v>
      </c>
      <c r="O132" s="478"/>
      <c r="P132" s="478"/>
      <c r="Q132" s="261" t="s">
        <v>151</v>
      </c>
      <c r="R132" s="85"/>
      <c r="S132" s="85"/>
      <c r="T132" s="85"/>
      <c r="U132" s="85"/>
      <c r="V132" s="85"/>
      <c r="W132" s="227"/>
      <c r="X132" s="529" t="s">
        <v>315</v>
      </c>
      <c r="Y132" s="530"/>
      <c r="Z132" s="425">
        <f>SUM(Z122:AB131)+N132</f>
        <v>4193003.878412491</v>
      </c>
      <c r="AA132" s="425"/>
      <c r="AB132" s="425"/>
      <c r="AC132" s="6"/>
    </row>
    <row r="133" spans="1:44" ht="12.75" customHeight="1">
      <c r="A133" s="260">
        <v>3</v>
      </c>
      <c r="B133" s="501" t="s">
        <v>310</v>
      </c>
      <c r="C133" s="502"/>
      <c r="D133" s="502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  <c r="P133" s="502"/>
      <c r="Q133" s="502"/>
      <c r="R133" s="502"/>
      <c r="S133" s="502"/>
      <c r="T133" s="502"/>
      <c r="U133" s="502"/>
      <c r="V133" s="502"/>
      <c r="W133" s="502"/>
      <c r="X133" s="502"/>
      <c r="Y133" s="502"/>
      <c r="Z133" s="502"/>
      <c r="AA133" s="502"/>
      <c r="AB133" s="502"/>
      <c r="AC133" s="6"/>
      <c r="AD133" s="194" t="str">
        <f>data_file($AF$3,$AM$3,AH133,AI133)</f>
        <v>Expanded</v>
      </c>
      <c r="AH133" s="67">
        <v>50</v>
      </c>
      <c r="AI133" s="67">
        <v>16</v>
      </c>
      <c r="AK133" s="1" t="s">
        <v>28</v>
      </c>
      <c r="AN133" s="1" t="s">
        <v>29</v>
      </c>
      <c r="AR133" s="1" t="s">
        <v>30</v>
      </c>
    </row>
    <row r="134" spans="1:29" ht="12.75" customHeight="1">
      <c r="A134" s="82" t="s">
        <v>408</v>
      </c>
      <c r="B134" s="82"/>
      <c r="C134" s="82"/>
      <c r="D134" s="82"/>
      <c r="E134" s="168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419">
        <f>P14</f>
        <v>374</v>
      </c>
      <c r="U134" s="417"/>
      <c r="V134" s="171" t="s">
        <v>110</v>
      </c>
      <c r="W134" s="506">
        <v>500</v>
      </c>
      <c r="X134" s="507"/>
      <c r="Y134" s="508"/>
      <c r="Z134" s="379">
        <f>T134*W134</f>
        <v>187000</v>
      </c>
      <c r="AA134" s="379"/>
      <c r="AB134" s="379"/>
      <c r="AC134" s="6"/>
    </row>
    <row r="135" spans="1:49" ht="12.75" customHeight="1">
      <c r="A135" s="122" t="s">
        <v>409</v>
      </c>
      <c r="B135" s="122"/>
      <c r="C135" s="122"/>
      <c r="D135" s="122"/>
      <c r="E135" s="177" t="s">
        <v>74</v>
      </c>
      <c r="F135" s="122"/>
      <c r="G135" s="122"/>
      <c r="H135" s="122" t="s">
        <v>76</v>
      </c>
      <c r="I135" s="122"/>
      <c r="J135" s="494">
        <f>N14</f>
        <v>5880</v>
      </c>
      <c r="K135" s="494"/>
      <c r="L135" s="122"/>
      <c r="M135" s="1" t="s">
        <v>75</v>
      </c>
      <c r="O135" s="219">
        <f>IF(J135&lt;=1000,10,IF(J135&lt;=2000,8,IF(J135&lt;3000,6,IF(J135&lt;=5000,5,4))))</f>
        <v>4</v>
      </c>
      <c r="Q135" s="122"/>
      <c r="R135" s="122"/>
      <c r="S135" s="122"/>
      <c r="T135" s="430">
        <f>T134/O135/8</f>
        <v>11.6875</v>
      </c>
      <c r="U135" s="407"/>
      <c r="V135" s="178" t="s">
        <v>441</v>
      </c>
      <c r="W135" s="497">
        <v>200000</v>
      </c>
      <c r="X135" s="498"/>
      <c r="Y135" s="499"/>
      <c r="Z135" s="407">
        <f>T135*W135</f>
        <v>2337500</v>
      </c>
      <c r="AA135" s="407"/>
      <c r="AB135" s="407"/>
      <c r="AC135" s="6"/>
      <c r="AQ135" s="63" t="s">
        <v>46</v>
      </c>
      <c r="AR135" s="62">
        <v>20</v>
      </c>
      <c r="AS135" s="62">
        <v>26</v>
      </c>
      <c r="AT135" s="62">
        <v>32</v>
      </c>
      <c r="AU135" s="62">
        <v>39</v>
      </c>
      <c r="AV135" s="62">
        <v>51</v>
      </c>
      <c r="AW135" s="62">
        <v>64</v>
      </c>
    </row>
    <row r="136" spans="1:50" ht="12.75" customHeight="1">
      <c r="A136" s="485" t="s">
        <v>410</v>
      </c>
      <c r="B136" s="485"/>
      <c r="C136" s="485"/>
      <c r="D136" s="485"/>
      <c r="E136" s="168" t="s">
        <v>421</v>
      </c>
      <c r="F136" s="82"/>
      <c r="G136" s="82"/>
      <c r="H136" s="82"/>
      <c r="I136" s="82"/>
      <c r="J136" s="82"/>
      <c r="K136" s="82"/>
      <c r="L136" s="30"/>
      <c r="M136" s="30"/>
      <c r="N136" s="82"/>
      <c r="O136" s="82"/>
      <c r="P136" s="82"/>
      <c r="Q136" s="82"/>
      <c r="R136" s="82"/>
      <c r="S136" s="82"/>
      <c r="T136" s="419">
        <f>T123</f>
        <v>748</v>
      </c>
      <c r="U136" s="417"/>
      <c r="V136" s="171" t="s">
        <v>442</v>
      </c>
      <c r="W136" s="506">
        <v>1000</v>
      </c>
      <c r="X136" s="507"/>
      <c r="Y136" s="508"/>
      <c r="Z136" s="417">
        <f>T136*W136</f>
        <v>748000</v>
      </c>
      <c r="AA136" s="417"/>
      <c r="AB136" s="417"/>
      <c r="AC136" s="6"/>
      <c r="AD136" s="152" t="str">
        <f>E137</f>
        <v> Welding</v>
      </c>
      <c r="AG136" s="63" t="str">
        <f aca="true" t="shared" si="35" ref="AG136:AM136">AQ135</f>
        <v>Tube OD &gt;</v>
      </c>
      <c r="AH136" s="152">
        <f t="shared" si="35"/>
        <v>20</v>
      </c>
      <c r="AI136" s="152">
        <f t="shared" si="35"/>
        <v>26</v>
      </c>
      <c r="AJ136" s="152">
        <f t="shared" si="35"/>
        <v>32</v>
      </c>
      <c r="AK136" s="152">
        <f t="shared" si="35"/>
        <v>39</v>
      </c>
      <c r="AL136" s="152">
        <f t="shared" si="35"/>
        <v>51</v>
      </c>
      <c r="AM136" s="152">
        <f t="shared" si="35"/>
        <v>64</v>
      </c>
      <c r="AQ136" s="223" t="s">
        <v>42</v>
      </c>
      <c r="AR136" s="191">
        <v>350</v>
      </c>
      <c r="AS136" s="191">
        <v>400</v>
      </c>
      <c r="AT136" s="191">
        <v>500</v>
      </c>
      <c r="AU136" s="191">
        <v>700</v>
      </c>
      <c r="AV136" s="191">
        <v>900</v>
      </c>
      <c r="AW136" s="191">
        <v>1200</v>
      </c>
      <c r="AX136" s="191">
        <v>1500</v>
      </c>
    </row>
    <row r="137" spans="1:50" ht="12.75" customHeight="1">
      <c r="A137" s="487"/>
      <c r="B137" s="487"/>
      <c r="C137" s="487"/>
      <c r="D137" s="487"/>
      <c r="E137" s="170" t="s">
        <v>422</v>
      </c>
      <c r="F137" s="84"/>
      <c r="G137" s="84"/>
      <c r="H137" s="84"/>
      <c r="I137" s="48" t="s">
        <v>40</v>
      </c>
      <c r="J137" s="448">
        <f>K14</f>
        <v>19.05</v>
      </c>
      <c r="K137" s="448"/>
      <c r="L137" s="122" t="s">
        <v>44</v>
      </c>
      <c r="M137" s="122"/>
      <c r="N137" s="2" t="str">
        <f>AD133</f>
        <v>Expanded</v>
      </c>
      <c r="O137" s="84"/>
      <c r="P137" s="84"/>
      <c r="Q137" s="84"/>
      <c r="R137" s="84"/>
      <c r="S137" s="84"/>
      <c r="T137" s="415">
        <f>IF(N137=AK133,0,T136)</f>
        <v>0</v>
      </c>
      <c r="U137" s="406"/>
      <c r="V137" s="173" t="str">
        <f>V136</f>
        <v>ea</v>
      </c>
      <c r="W137" s="413">
        <f>IF(N137=AK133,0,IF(J137&lt;=AH136,AH137,IF(J137&lt;=AI136,AI137,IF(J137&lt;=AJ136,AJ137,IF(J137&lt;=AK136,AK137,IF(J137&lt;=AL136,AL137,IF(J137&lt;=AM136,AM137,AN137)))))))</f>
        <v>0</v>
      </c>
      <c r="X137" s="406"/>
      <c r="Y137" s="414"/>
      <c r="Z137" s="406">
        <f>T137*W137</f>
        <v>0</v>
      </c>
      <c r="AA137" s="406"/>
      <c r="AB137" s="406"/>
      <c r="AC137" s="6"/>
      <c r="AD137" s="222" t="s">
        <v>39</v>
      </c>
      <c r="AH137" s="63" t="str">
        <f>IF($N137=$AK133,"***",IF($N137=$AN133,AR136,IF($N137=$AR133,AR137)))</f>
        <v>***</v>
      </c>
      <c r="AI137" s="63" t="str">
        <f aca="true" t="shared" si="36" ref="AI137:AN137">IF($N137=$AK133,"***",IF($N137=$AN133,AS136,IF($N137=$AR133,AS137)))</f>
        <v>***</v>
      </c>
      <c r="AJ137" s="63" t="str">
        <f t="shared" si="36"/>
        <v>***</v>
      </c>
      <c r="AK137" s="63" t="str">
        <f t="shared" si="36"/>
        <v>***</v>
      </c>
      <c r="AL137" s="63" t="str">
        <f t="shared" si="36"/>
        <v>***</v>
      </c>
      <c r="AM137" s="63" t="str">
        <f t="shared" si="36"/>
        <v>***</v>
      </c>
      <c r="AN137" s="63" t="str">
        <f t="shared" si="36"/>
        <v>***</v>
      </c>
      <c r="AQ137" s="223" t="s">
        <v>43</v>
      </c>
      <c r="AR137" s="191">
        <v>600</v>
      </c>
      <c r="AS137" s="191">
        <v>650</v>
      </c>
      <c r="AT137" s="191">
        <v>900</v>
      </c>
      <c r="AU137" s="191">
        <v>1300</v>
      </c>
      <c r="AV137" s="191">
        <v>1800</v>
      </c>
      <c r="AW137" s="191">
        <v>2200</v>
      </c>
      <c r="AX137" s="191">
        <v>2500</v>
      </c>
    </row>
    <row r="138" spans="1:51" ht="12.75" customHeight="1">
      <c r="A138" s="129" t="s">
        <v>415</v>
      </c>
      <c r="B138" s="129"/>
      <c r="C138" s="129"/>
      <c r="D138" s="129"/>
      <c r="E138" s="248" t="s">
        <v>146</v>
      </c>
      <c r="F138" s="129"/>
      <c r="G138" s="129">
        <f>M20</f>
        <v>12</v>
      </c>
      <c r="H138" s="129" t="s">
        <v>50</v>
      </c>
      <c r="I138" s="441">
        <f>(AI152+AL152+AP152+AN152)/IF(G138&lt;=AH140,AH141,IF(G138&lt;=AI140,AI141,IF(G138&lt;=AJ140,AJ141,IF(G138&lt;=AK140,AK141,IF(G138&lt;=AL140,AL141,IF(G138&lt;=AM140,AM141,IF(G138&lt;=AN140,AN141,AO141)))))))/8</f>
        <v>0.06701327211324827</v>
      </c>
      <c r="J138" s="489"/>
      <c r="K138" s="180" t="s">
        <v>439</v>
      </c>
      <c r="L138" s="416">
        <f>W138</f>
        <v>200000</v>
      </c>
      <c r="M138" s="417"/>
      <c r="N138" s="418"/>
      <c r="O138" s="129" t="s">
        <v>433</v>
      </c>
      <c r="P138" s="129"/>
      <c r="Q138" s="257" t="s">
        <v>45</v>
      </c>
      <c r="R138" s="129">
        <f>AI152+AL152+AP152+AN152</f>
        <v>9.64991118430775</v>
      </c>
      <c r="S138" s="129" t="s">
        <v>209</v>
      </c>
      <c r="T138" s="441">
        <f>R138*IF(G138&lt;=AH138,AH139,IF(G138&lt;=AI138,AI139,IF(G138&lt;=AJ138,AJ139,IF(G138&lt;=AK138,AK139,IF(G138&lt;=AL138,AL139,IF(G138&lt;=AM138,AM139,IF(G138&lt;=AN138,AN139,AO139)))))))/8</f>
        <v>4.342460032938488</v>
      </c>
      <c r="U138" s="489"/>
      <c r="V138" s="180" t="s">
        <v>441</v>
      </c>
      <c r="W138" s="526">
        <v>200000</v>
      </c>
      <c r="X138" s="527"/>
      <c r="Y138" s="528"/>
      <c r="Z138" s="409">
        <f>I138*L138+T138*W138</f>
        <v>881894.6610103473</v>
      </c>
      <c r="AA138" s="409"/>
      <c r="AB138" s="409"/>
      <c r="AC138" s="6"/>
      <c r="AG138" s="63" t="str">
        <f aca="true" t="shared" si="37" ref="AG138:AN138">AQ138</f>
        <v>up to Plate 두께 &gt;</v>
      </c>
      <c r="AH138" s="62">
        <f t="shared" si="37"/>
        <v>10</v>
      </c>
      <c r="AI138" s="62">
        <f t="shared" si="37"/>
        <v>15</v>
      </c>
      <c r="AJ138" s="62">
        <f t="shared" si="37"/>
        <v>20</v>
      </c>
      <c r="AK138" s="62">
        <f t="shared" si="37"/>
        <v>30</v>
      </c>
      <c r="AL138" s="62">
        <f t="shared" si="37"/>
        <v>40</v>
      </c>
      <c r="AM138" s="62">
        <f t="shared" si="37"/>
        <v>50</v>
      </c>
      <c r="AN138" s="62">
        <f t="shared" si="37"/>
        <v>60</v>
      </c>
      <c r="AQ138" s="63" t="s">
        <v>47</v>
      </c>
      <c r="AR138" s="62">
        <v>10</v>
      </c>
      <c r="AS138" s="62">
        <v>15</v>
      </c>
      <c r="AT138" s="62">
        <v>20</v>
      </c>
      <c r="AU138" s="62">
        <v>30</v>
      </c>
      <c r="AV138" s="62">
        <v>40</v>
      </c>
      <c r="AW138" s="62">
        <v>50</v>
      </c>
      <c r="AX138" s="62">
        <v>60</v>
      </c>
      <c r="AY138" s="63" t="s">
        <v>53</v>
      </c>
    </row>
    <row r="139" spans="1:51" ht="12.75" customHeight="1">
      <c r="A139" s="32" t="s">
        <v>416</v>
      </c>
      <c r="B139" s="32"/>
      <c r="C139" s="32"/>
      <c r="D139" s="32"/>
      <c r="E139" s="249" t="str">
        <f>E138</f>
        <v> CT &amp; Grinding</v>
      </c>
      <c r="F139" s="32"/>
      <c r="G139" s="32">
        <f>M65</f>
        <v>12</v>
      </c>
      <c r="H139" s="83" t="str">
        <f>H138</f>
        <v>t</v>
      </c>
      <c r="I139" s="468">
        <f>((AI153+AL153+AP153+AN153)+(AI154+AL154+AP154+AN154))/IF(G139&lt;=AH140,AH141,IF(G139&lt;=AI140,AI141,IF(G139&lt;=AJ140,AJ141,IF(G139&lt;=AK140,AK141,IF(G139&lt;=AL140,AL141,IF(G139&lt;=AM140,AM141,IF(G139&lt;=AN140,AN141,AO141)))))))/8</f>
        <v>0.06407543311538544</v>
      </c>
      <c r="J139" s="479"/>
      <c r="K139" s="172" t="str">
        <f>K138</f>
        <v>MD</v>
      </c>
      <c r="L139" s="378">
        <f>L138</f>
        <v>200000</v>
      </c>
      <c r="M139" s="379"/>
      <c r="N139" s="380"/>
      <c r="O139" s="32" t="str">
        <f>O138</f>
        <v> 용접</v>
      </c>
      <c r="P139" s="32"/>
      <c r="Q139" s="143" t="str">
        <f>Q138</f>
        <v>SAW</v>
      </c>
      <c r="R139" s="32">
        <f>(AI153+AL153+AP153+AN153)+(AI154+AL154+AP154+AN154)</f>
        <v>9.226862368615503</v>
      </c>
      <c r="S139" s="32" t="str">
        <f>S138</f>
        <v>m</v>
      </c>
      <c r="T139" s="468">
        <f>R139*IF(G139&lt;=AH138,AH139,IF(G139&lt;=AI138,AI139,IF(G139&lt;=AJ138,AJ139,IF(G139&lt;=AK138,AK139,IF(G139&lt;=AL138,AL139,IF(G139&lt;=AM138,AM139,IF(G139&lt;=AN138,AN139,AO139)))))))/8</f>
        <v>4.152088065876977</v>
      </c>
      <c r="U139" s="479"/>
      <c r="V139" s="172" t="str">
        <f>V138</f>
        <v>MD</v>
      </c>
      <c r="W139" s="378">
        <f>W138</f>
        <v>200000</v>
      </c>
      <c r="X139" s="379"/>
      <c r="Y139" s="380"/>
      <c r="Z139" s="379">
        <f>I139*L139+T139*W139</f>
        <v>843232.6997984725</v>
      </c>
      <c r="AA139" s="379"/>
      <c r="AB139" s="379"/>
      <c r="AC139" s="5"/>
      <c r="AD139" s="224"/>
      <c r="AG139" s="247" t="s">
        <v>111</v>
      </c>
      <c r="AH139" s="1">
        <f>IF($Q138=$AQ139,AR139,IF($Q138=$AQ140,AR140))</f>
        <v>3.3</v>
      </c>
      <c r="AI139" s="1">
        <f aca="true" t="shared" si="38" ref="AI139:AO139">IF($Q138=$AQ139,AS139,IF($Q138=$AQ140,AS140))</f>
        <v>3.6</v>
      </c>
      <c r="AJ139" s="1">
        <f t="shared" si="38"/>
        <v>4.6</v>
      </c>
      <c r="AK139" s="1">
        <f t="shared" si="38"/>
        <v>7.1</v>
      </c>
      <c r="AL139" s="1">
        <f t="shared" si="38"/>
        <v>11.3</v>
      </c>
      <c r="AM139" s="1">
        <f t="shared" si="38"/>
        <v>12.2</v>
      </c>
      <c r="AN139" s="1">
        <f t="shared" si="38"/>
        <v>14.9</v>
      </c>
      <c r="AO139" s="1">
        <f t="shared" si="38"/>
        <v>20</v>
      </c>
      <c r="AQ139" s="223" t="s">
        <v>48</v>
      </c>
      <c r="AR139" s="191">
        <v>3.3</v>
      </c>
      <c r="AS139" s="191">
        <v>3.6</v>
      </c>
      <c r="AT139" s="191">
        <v>4.6</v>
      </c>
      <c r="AU139" s="191">
        <v>7.1</v>
      </c>
      <c r="AV139" s="191">
        <v>11.3</v>
      </c>
      <c r="AW139" s="191">
        <v>12.2</v>
      </c>
      <c r="AX139" s="191">
        <v>14.9</v>
      </c>
      <c r="AY139" s="191">
        <v>20</v>
      </c>
    </row>
    <row r="140" spans="1:51" ht="12.75" customHeight="1">
      <c r="A140" s="83" t="s">
        <v>432</v>
      </c>
      <c r="B140" s="83"/>
      <c r="C140" s="83"/>
      <c r="D140" s="83"/>
      <c r="E140" s="169" t="s">
        <v>132</v>
      </c>
      <c r="F140" s="83"/>
      <c r="G140" s="83">
        <f>SUM(R49:S52)/1000</f>
        <v>0.08160952410209515</v>
      </c>
      <c r="H140" s="83" t="s">
        <v>135</v>
      </c>
      <c r="I140" s="468">
        <f>G140*IF(G140&lt;=AH142,AH143,IF(G140&lt;=AI142,AI143,IF(G140&lt;=AJ142,AJ143,IF(G140&lt;=AK142,AK143,IF(G140&lt;=AL142,AL143,IF(G140&lt;=AM142,AM143,IF(G140&lt;=AN142,AN143,AO143)))))))</f>
        <v>1.632190482041903</v>
      </c>
      <c r="J140" s="479"/>
      <c r="K140" s="172" t="str">
        <f>K138</f>
        <v>MD</v>
      </c>
      <c r="L140" s="378">
        <f>L138</f>
        <v>200000</v>
      </c>
      <c r="M140" s="379"/>
      <c r="N140" s="380"/>
      <c r="O140" s="83" t="s">
        <v>145</v>
      </c>
      <c r="P140" s="83"/>
      <c r="Q140" s="143" t="str">
        <f>Q138</f>
        <v>SAW</v>
      </c>
      <c r="R140" s="83">
        <f>IF(P49&lt;=0,0,(K52+N52)*2*P52/1000)</f>
        <v>3.8538028800000004</v>
      </c>
      <c r="S140" s="83" t="s">
        <v>51</v>
      </c>
      <c r="T140" s="468">
        <f>R140*IF(G138&lt;=AH138,AH139,IF(G138&lt;=AI138,AI139,IF(G138&lt;=AJ138,AJ139,IF(G138&lt;=AK138,AK139,IF(G138&lt;=AL138,AL139,IF(G138&lt;=AM138,AM139,IF(G138&lt;=AN138,AN139,AO139)))))))/8</f>
        <v>1.7342112960000002</v>
      </c>
      <c r="U140" s="479"/>
      <c r="V140" s="172" t="str">
        <f>V138</f>
        <v>MD</v>
      </c>
      <c r="W140" s="378">
        <f>W138</f>
        <v>200000</v>
      </c>
      <c r="X140" s="379"/>
      <c r="Y140" s="380"/>
      <c r="Z140" s="379">
        <f>I140*L140+T140*W140</f>
        <v>673280.3556083806</v>
      </c>
      <c r="AA140" s="379"/>
      <c r="AB140" s="379"/>
      <c r="AC140" s="5"/>
      <c r="AG140" s="63" t="s">
        <v>47</v>
      </c>
      <c r="AH140" s="152">
        <v>10</v>
      </c>
      <c r="AI140" s="152">
        <v>15</v>
      </c>
      <c r="AJ140" s="152">
        <v>20</v>
      </c>
      <c r="AK140" s="152">
        <v>30</v>
      </c>
      <c r="AL140" s="152">
        <v>40</v>
      </c>
      <c r="AM140" s="152">
        <v>50</v>
      </c>
      <c r="AN140" s="152">
        <v>60</v>
      </c>
      <c r="AQ140" s="223" t="s">
        <v>49</v>
      </c>
      <c r="AR140" s="191">
        <v>3</v>
      </c>
      <c r="AS140" s="191">
        <v>3.3</v>
      </c>
      <c r="AT140" s="191">
        <v>3.8</v>
      </c>
      <c r="AU140" s="191">
        <v>6.7</v>
      </c>
      <c r="AV140" s="191">
        <v>10</v>
      </c>
      <c r="AW140" s="191">
        <v>12.7</v>
      </c>
      <c r="AX140" s="191">
        <v>18</v>
      </c>
      <c r="AY140" s="191">
        <v>25</v>
      </c>
    </row>
    <row r="141" spans="1:41" ht="12.75" customHeight="1">
      <c r="A141" s="465" t="s">
        <v>428</v>
      </c>
      <c r="B141" s="465"/>
      <c r="C141" s="83" t="str">
        <f>A138</f>
        <v> Shell</v>
      </c>
      <c r="D141" s="83"/>
      <c r="E141" s="169" t="s">
        <v>132</v>
      </c>
      <c r="F141" s="83"/>
      <c r="G141" s="83"/>
      <c r="H141" s="83"/>
      <c r="I141" s="468">
        <f>(IF(P31&lt;=0,0,cost_mfg_nozzle(AN31,AO31)*P31)+IF(P34&lt;=0,0,cost_mfg_nozzle(AN34,AO34)*P34)+IF(P37&lt;=0,0,cost_mfg_nozzle(AN37,AO37)*P37)+IF(P39&lt;=0,0,cost_mfg_nozzle(AN39,AO39)*P39)+IF(P41&lt;=0,0,cost_mfg_nozzle(AN41,AO41)*P41))/8</f>
        <v>0.5625</v>
      </c>
      <c r="J141" s="479"/>
      <c r="K141" s="172" t="str">
        <f>K138</f>
        <v>MD</v>
      </c>
      <c r="L141" s="378">
        <f>L138</f>
        <v>200000</v>
      </c>
      <c r="M141" s="379"/>
      <c r="N141" s="380"/>
      <c r="O141" s="83" t="str">
        <f>O140</f>
        <v> 용젖</v>
      </c>
      <c r="P141" s="83"/>
      <c r="Q141" s="258"/>
      <c r="R141" s="258">
        <f>AQ152+AR152+AS152+AT152+AU152</f>
        <v>7.217589210136799</v>
      </c>
      <c r="S141" s="83" t="s">
        <v>51</v>
      </c>
      <c r="T141" s="468">
        <f>R141*IF(G138&lt;=AH138,AH139,IF(G138&lt;=AI138,AI139,IF(G138&lt;=AJ138,AJ139,IF(G138&lt;=AK138,AK139,IF(G138&lt;=AL138,AL139,IF(G138&lt;=AM138,AM139,IF(G138&lt;=AN138,AN139,AO139)))))))/8*1.5</f>
        <v>4.871872716842339</v>
      </c>
      <c r="U141" s="479"/>
      <c r="V141" s="172" t="str">
        <f>V138</f>
        <v>MD</v>
      </c>
      <c r="W141" s="378">
        <f>W138</f>
        <v>200000</v>
      </c>
      <c r="X141" s="379"/>
      <c r="Y141" s="380"/>
      <c r="Z141" s="379">
        <f>I141*L141+T141*W141</f>
        <v>1086874.5433684678</v>
      </c>
      <c r="AA141" s="379"/>
      <c r="AB141" s="379"/>
      <c r="AC141" s="5"/>
      <c r="AG141" s="63" t="s">
        <v>112</v>
      </c>
      <c r="AH141" s="191">
        <v>20</v>
      </c>
      <c r="AI141" s="191">
        <v>18</v>
      </c>
      <c r="AJ141" s="191">
        <v>16</v>
      </c>
      <c r="AK141" s="191">
        <v>14</v>
      </c>
      <c r="AL141" s="191">
        <v>12</v>
      </c>
      <c r="AM141" s="191">
        <v>10</v>
      </c>
      <c r="AN141" s="191">
        <v>8</v>
      </c>
      <c r="AO141" s="191">
        <v>4</v>
      </c>
    </row>
    <row r="142" spans="1:40" ht="12.75" customHeight="1">
      <c r="A142" s="495"/>
      <c r="B142" s="495"/>
      <c r="C142" s="83" t="str">
        <f>A139</f>
        <v> Channel</v>
      </c>
      <c r="D142" s="83"/>
      <c r="E142" s="169" t="str">
        <f>E141</f>
        <v> 제작</v>
      </c>
      <c r="F142" s="83"/>
      <c r="G142" s="83"/>
      <c r="H142" s="83"/>
      <c r="I142" s="468">
        <f>(IF(P83&lt;=0,0,cost_mfg_nozzle(AN83,AO83)*P83)+IF(P86&lt;=0,0,cost_mfg_nozzle(AN86,AO86)*P86)+IF(P89&lt;=0,0,cost_mfg_nozzle(AN89,AO89)*P89)+IF(P91&lt;=0,0,cost_mfg_nozzle(AN91,AO91)*P91))/8</f>
        <v>0.9375</v>
      </c>
      <c r="J142" s="479"/>
      <c r="K142" s="172" t="str">
        <f>K139</f>
        <v>MD</v>
      </c>
      <c r="L142" s="378">
        <f>L138</f>
        <v>200000</v>
      </c>
      <c r="M142" s="379"/>
      <c r="N142" s="380"/>
      <c r="O142" s="83" t="str">
        <f>O141</f>
        <v> 용젖</v>
      </c>
      <c r="P142" s="83"/>
      <c r="Q142" s="258"/>
      <c r="R142" s="258">
        <f>AQ154+AR154+AS154+AT154+AU154</f>
        <v>10.716663691778573</v>
      </c>
      <c r="S142" s="83" t="s">
        <v>51</v>
      </c>
      <c r="T142" s="468">
        <f>R142*IF(G139&lt;=AH138,AH139,IF(G139&lt;=AI138,AI139,IF(G139&lt;=AJ138,AJ139,IF(G139&lt;=AK138,AK139,IF(G139&lt;=AL138,AL139,IF(G139&lt;=AM138,AM139,IF(G139&lt;=AN138,AN139,AO139)))))))/8*1.5</f>
        <v>7.233747991950537</v>
      </c>
      <c r="U142" s="479"/>
      <c r="V142" s="172" t="str">
        <f>V138</f>
        <v>MD</v>
      </c>
      <c r="W142" s="378">
        <f>W138</f>
        <v>200000</v>
      </c>
      <c r="X142" s="379"/>
      <c r="Y142" s="380"/>
      <c r="Z142" s="379">
        <f>I142*L142+T142*W142</f>
        <v>1634249.5983901075</v>
      </c>
      <c r="AA142" s="379"/>
      <c r="AB142" s="379"/>
      <c r="AC142" s="5"/>
      <c r="AG142" s="63" t="s">
        <v>133</v>
      </c>
      <c r="AH142" s="152">
        <v>0.5</v>
      </c>
      <c r="AI142" s="152">
        <v>1</v>
      </c>
      <c r="AJ142" s="152">
        <v>2</v>
      </c>
      <c r="AK142" s="152">
        <v>3</v>
      </c>
      <c r="AL142" s="152">
        <v>4</v>
      </c>
      <c r="AM142" s="152">
        <v>5</v>
      </c>
      <c r="AN142" s="152">
        <v>10</v>
      </c>
    </row>
    <row r="143" spans="1:41" ht="12.75" customHeight="1">
      <c r="A143" s="32" t="s">
        <v>136</v>
      </c>
      <c r="B143" s="32"/>
      <c r="C143" s="32"/>
      <c r="D143" s="32"/>
      <c r="E143" s="5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401">
        <v>10</v>
      </c>
      <c r="U143" s="382"/>
      <c r="V143" s="172" t="s">
        <v>247</v>
      </c>
      <c r="W143" s="381"/>
      <c r="X143" s="382"/>
      <c r="Y143" s="383"/>
      <c r="Z143" s="379">
        <f>SUM(Z134:AB142)*T143/100</f>
        <v>839203.1858175775</v>
      </c>
      <c r="AA143" s="379"/>
      <c r="AB143" s="379"/>
      <c r="AG143" s="247" t="s">
        <v>134</v>
      </c>
      <c r="AH143" s="191">
        <v>20</v>
      </c>
      <c r="AI143" s="191">
        <v>19</v>
      </c>
      <c r="AJ143" s="191">
        <v>18</v>
      </c>
      <c r="AK143" s="191">
        <v>17</v>
      </c>
      <c r="AL143" s="191">
        <v>16</v>
      </c>
      <c r="AM143" s="191">
        <v>15</v>
      </c>
      <c r="AN143" s="191">
        <v>12</v>
      </c>
      <c r="AO143" s="191">
        <v>10</v>
      </c>
    </row>
    <row r="144" spans="1:30" ht="12.75" customHeight="1">
      <c r="A144" s="202" t="s">
        <v>130</v>
      </c>
      <c r="B144" s="32"/>
      <c r="C144" s="32"/>
      <c r="D144" s="32"/>
      <c r="E144" s="58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83" t="str">
        <f>N7</f>
        <v>No</v>
      </c>
      <c r="S144" s="32"/>
      <c r="T144" s="401">
        <v>5</v>
      </c>
      <c r="U144" s="382"/>
      <c r="V144" s="172" t="s">
        <v>131</v>
      </c>
      <c r="W144" s="381"/>
      <c r="X144" s="382"/>
      <c r="Y144" s="383"/>
      <c r="Z144" s="379">
        <f>IF(R144&lt;&gt;"Yes",0,SUM(Z134:AB142)*T144/100)</f>
        <v>0</v>
      </c>
      <c r="AA144" s="379"/>
      <c r="AB144" s="379"/>
      <c r="AD144" s="152" t="s">
        <v>102</v>
      </c>
    </row>
    <row r="145" spans="1:31" ht="12.75" customHeight="1">
      <c r="A145" s="202" t="s">
        <v>27</v>
      </c>
      <c r="B145" s="32"/>
      <c r="D145" s="265" t="s">
        <v>448</v>
      </c>
      <c r="G145" s="110" t="s">
        <v>64</v>
      </c>
      <c r="H145" s="32"/>
      <c r="I145" s="476">
        <f>IF(D145&lt;&gt;"Yes",0,2)</f>
        <v>0</v>
      </c>
      <c r="J145" s="477"/>
      <c r="K145" s="230" t="s">
        <v>65</v>
      </c>
      <c r="L145" s="402">
        <v>500000</v>
      </c>
      <c r="M145" s="402"/>
      <c r="N145" s="402"/>
      <c r="O145" s="37"/>
      <c r="P145" s="32"/>
      <c r="Q145" s="32"/>
      <c r="R145" s="32"/>
      <c r="S145" s="32"/>
      <c r="T145" s="412">
        <f>IF(D145&lt;&gt;"Yes",0,Q119-SUM(R56:S57)-SUM(#REF!)-SUM(R93:S94)-SUM(R98:S101)-SUM(R103:S105))</f>
        <v>0</v>
      </c>
      <c r="U145" s="379"/>
      <c r="V145" s="172" t="s">
        <v>343</v>
      </c>
      <c r="W145" s="381">
        <v>500</v>
      </c>
      <c r="X145" s="382"/>
      <c r="Y145" s="383"/>
      <c r="Z145" s="379">
        <f>T145*W145+IF(D145&lt;&gt;"Yes",0,I145*L145)</f>
        <v>0</v>
      </c>
      <c r="AA145" s="379"/>
      <c r="AB145" s="379"/>
      <c r="AD145" s="196" t="s">
        <v>574</v>
      </c>
      <c r="AE145" s="196" t="s">
        <v>343</v>
      </c>
    </row>
    <row r="146" spans="1:31" ht="12.75" customHeight="1">
      <c r="A146" s="32" t="s">
        <v>411</v>
      </c>
      <c r="B146" s="32"/>
      <c r="C146" s="32"/>
      <c r="D146" s="32"/>
      <c r="E146" s="58"/>
      <c r="F146" s="32"/>
      <c r="G146" s="32" t="str">
        <f>G145</f>
        <v>운반비</v>
      </c>
      <c r="H146" s="32"/>
      <c r="I146" s="503">
        <v>2</v>
      </c>
      <c r="J146" s="504"/>
      <c r="K146" s="59" t="str">
        <f>K145</f>
        <v>번</v>
      </c>
      <c r="L146" s="515">
        <f>L145</f>
        <v>500000</v>
      </c>
      <c r="M146" s="515"/>
      <c r="N146" s="515"/>
      <c r="O146" s="37"/>
      <c r="P146" s="32"/>
      <c r="Q146" s="32"/>
      <c r="R146" s="32"/>
      <c r="S146" s="32"/>
      <c r="T146" s="468">
        <f>IF(V146=AD145,AG56+AG93,Q119-SUM(R93:S94)-SUM(R56:S57))</f>
        <v>4404.419796602995</v>
      </c>
      <c r="U146" s="479"/>
      <c r="V146" s="262" t="s">
        <v>103</v>
      </c>
      <c r="W146" s="516">
        <f>IF(V146=AD145,AD146,AE146)</f>
        <v>300</v>
      </c>
      <c r="X146" s="517"/>
      <c r="Y146" s="518"/>
      <c r="Z146" s="379">
        <f>T146*W146+I146*L146</f>
        <v>2321325.938980899</v>
      </c>
      <c r="AA146" s="379"/>
      <c r="AB146" s="379"/>
      <c r="AD146" s="243">
        <v>20000</v>
      </c>
      <c r="AE146" s="67">
        <v>300</v>
      </c>
    </row>
    <row r="147" spans="1:28" ht="12.75" customHeight="1">
      <c r="A147" s="32"/>
      <c r="B147" s="32"/>
      <c r="C147" s="32"/>
      <c r="D147" s="32"/>
      <c r="E147" s="58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401"/>
      <c r="U147" s="382"/>
      <c r="V147" s="172"/>
      <c r="W147" s="381"/>
      <c r="X147" s="382"/>
      <c r="Y147" s="383"/>
      <c r="Z147" s="379">
        <f>T147*W147</f>
        <v>0</v>
      </c>
      <c r="AA147" s="379"/>
      <c r="AB147" s="379"/>
    </row>
    <row r="148" spans="1:29" ht="12.75" customHeight="1">
      <c r="A148" s="83" t="s">
        <v>149</v>
      </c>
      <c r="B148" s="83"/>
      <c r="C148" s="83"/>
      <c r="D148" s="264" t="s">
        <v>448</v>
      </c>
      <c r="E148" s="177" t="s">
        <v>147</v>
      </c>
      <c r="F148" s="83"/>
      <c r="G148" s="83"/>
      <c r="H148" s="231" t="str">
        <f>IF(P56&lt;=0,"- N/A -","Yes")</f>
        <v>- N/A -</v>
      </c>
      <c r="I148" s="83"/>
      <c r="J148" s="83"/>
      <c r="K148" s="83"/>
      <c r="L148" s="83" t="s">
        <v>148</v>
      </c>
      <c r="M148" s="83"/>
      <c r="N148" s="83"/>
      <c r="O148" s="231" t="str">
        <f>IF(P93&lt;=0,"- N/A -","Yes")</f>
        <v>- N/A -</v>
      </c>
      <c r="P148" s="83"/>
      <c r="Q148" s="83"/>
      <c r="R148" s="83"/>
      <c r="S148" s="83"/>
      <c r="T148" s="430"/>
      <c r="U148" s="407"/>
      <c r="V148" s="178"/>
      <c r="W148" s="497"/>
      <c r="X148" s="498"/>
      <c r="Y148" s="499"/>
      <c r="Z148" s="379">
        <f>T148*W148</f>
        <v>0</v>
      </c>
      <c r="AA148" s="379"/>
      <c r="AB148" s="379"/>
      <c r="AC148" s="5"/>
    </row>
    <row r="149" spans="1:29" ht="12.75" customHeight="1">
      <c r="A149" s="83" t="s">
        <v>203</v>
      </c>
      <c r="B149" s="83"/>
      <c r="C149" s="83"/>
      <c r="D149" s="83"/>
      <c r="E149" s="170" t="s">
        <v>204</v>
      </c>
      <c r="F149" s="83"/>
      <c r="G149" s="143" t="str">
        <f>IF(P17&lt;=0,"***",AF17)</f>
        <v>3/4"</v>
      </c>
      <c r="H149" s="234" t="s">
        <v>109</v>
      </c>
      <c r="I149" s="234">
        <f>IF(G149="***","***",P17)</f>
        <v>56</v>
      </c>
      <c r="J149" s="83" t="s">
        <v>91</v>
      </c>
      <c r="K149" s="83"/>
      <c r="L149" s="83"/>
      <c r="M149" s="143" t="str">
        <f>IF(AND(P71&lt;=0,P80&lt;=0),"***",IF(P71&gt;0,AF71,AF80))</f>
        <v>***</v>
      </c>
      <c r="N149" s="234" t="s">
        <v>109</v>
      </c>
      <c r="O149" s="234" t="str">
        <f>IF(M149="***","***",P71+P80)</f>
        <v>***</v>
      </c>
      <c r="P149" s="83" t="s">
        <v>206</v>
      </c>
      <c r="Q149" s="143" t="str">
        <f>IF(P46&lt;=0,"***",AF46)</f>
        <v>***</v>
      </c>
      <c r="R149" s="234" t="s">
        <v>109</v>
      </c>
      <c r="S149" s="234" t="str">
        <f>IF(Q149="***","***",P46)</f>
        <v>***</v>
      </c>
      <c r="T149" s="451">
        <f>IF(G149="***",0,I149/cost_mfg_bolting(G149)/8)+IF(M149="***",0,O149/cost_mfg_bolting(M149)/8)+IF(Q149="***",0,S149/cost_mfg_bolting(Q149)/8)</f>
        <v>0.5384615384615384</v>
      </c>
      <c r="U149" s="500"/>
      <c r="V149" s="173" t="s">
        <v>205</v>
      </c>
      <c r="W149" s="413">
        <f>W138</f>
        <v>200000</v>
      </c>
      <c r="X149" s="406"/>
      <c r="Y149" s="414"/>
      <c r="Z149" s="379">
        <f>T149*W149</f>
        <v>107692.30769230769</v>
      </c>
      <c r="AA149" s="379"/>
      <c r="AB149" s="379"/>
      <c r="AC149" s="5"/>
    </row>
    <row r="150" spans="1:47" ht="12.7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529" t="s">
        <v>315</v>
      </c>
      <c r="Y150" s="530"/>
      <c r="Z150" s="425">
        <f>SUM(Z134:AB149)</f>
        <v>11660253.290666558</v>
      </c>
      <c r="AA150" s="425"/>
      <c r="AB150" s="425"/>
      <c r="AC150" s="6"/>
      <c r="AF150" s="67">
        <v>38</v>
      </c>
      <c r="AG150" s="1" t="s">
        <v>61</v>
      </c>
      <c r="AQ150" s="370" t="s">
        <v>114</v>
      </c>
      <c r="AR150" s="370"/>
      <c r="AS150" s="205" t="s">
        <v>121</v>
      </c>
      <c r="AT150" s="370" t="s">
        <v>113</v>
      </c>
      <c r="AU150" s="370"/>
    </row>
    <row r="151" spans="1:50" ht="12.75" customHeight="1">
      <c r="A151" s="260">
        <v>4</v>
      </c>
      <c r="B151" s="501" t="s">
        <v>311</v>
      </c>
      <c r="C151" s="502"/>
      <c r="D151" s="502"/>
      <c r="E151" s="502"/>
      <c r="F151" s="502"/>
      <c r="G151" s="502"/>
      <c r="H151" s="502"/>
      <c r="I151" s="502"/>
      <c r="J151" s="502"/>
      <c r="K151" s="502"/>
      <c r="L151" s="502"/>
      <c r="M151" s="502"/>
      <c r="N151" s="502"/>
      <c r="O151" s="502"/>
      <c r="P151" s="502"/>
      <c r="Q151" s="502"/>
      <c r="R151" s="502"/>
      <c r="S151" s="502"/>
      <c r="T151" s="502"/>
      <c r="U151" s="502"/>
      <c r="V151" s="502"/>
      <c r="W151" s="502"/>
      <c r="X151" s="502"/>
      <c r="Y151" s="502"/>
      <c r="Z151" s="502"/>
      <c r="AA151" s="502"/>
      <c r="AB151" s="502"/>
      <c r="AE151" s="62" t="s">
        <v>60</v>
      </c>
      <c r="AF151" s="62" t="s">
        <v>0</v>
      </c>
      <c r="AG151" s="193" t="s">
        <v>23</v>
      </c>
      <c r="AH151" s="62" t="s">
        <v>281</v>
      </c>
      <c r="AI151" s="62" t="s">
        <v>435</v>
      </c>
      <c r="AJ151" s="282" t="s">
        <v>475</v>
      </c>
      <c r="AK151" s="62" t="str">
        <f>AH151</f>
        <v>Q'ty</v>
      </c>
      <c r="AL151" s="62" t="str">
        <f>AI151</f>
        <v>m</v>
      </c>
      <c r="AM151" s="152" t="s">
        <v>25</v>
      </c>
      <c r="AO151" s="370" t="s">
        <v>24</v>
      </c>
      <c r="AP151" s="370"/>
      <c r="AQ151" s="193" t="s">
        <v>119</v>
      </c>
      <c r="AR151" s="281" t="s">
        <v>120</v>
      </c>
      <c r="AT151" s="62" t="str">
        <f>AQ151</f>
        <v>12" 이상</v>
      </c>
      <c r="AU151" s="205" t="str">
        <f>AR151</f>
        <v>이하</v>
      </c>
      <c r="AV151" s="703" t="s">
        <v>31</v>
      </c>
      <c r="AW151" s="703"/>
      <c r="AX151" s="703"/>
    </row>
    <row r="152" spans="1:50" ht="12.75" customHeight="1">
      <c r="A152" s="244" t="s">
        <v>413</v>
      </c>
      <c r="B152" s="244"/>
      <c r="C152" s="244"/>
      <c r="D152" s="245"/>
      <c r="E152" s="52" t="s">
        <v>197</v>
      </c>
      <c r="F152" s="31"/>
      <c r="G152" s="31"/>
      <c r="H152" s="31"/>
      <c r="I152" s="480">
        <v>1</v>
      </c>
      <c r="J152" s="481"/>
      <c r="K152" s="95" t="s">
        <v>200</v>
      </c>
      <c r="L152" s="506">
        <v>500000</v>
      </c>
      <c r="M152" s="507"/>
      <c r="N152" s="525"/>
      <c r="O152" s="519" t="s">
        <v>429</v>
      </c>
      <c r="P152" s="520"/>
      <c r="Q152" s="520"/>
      <c r="R152" s="52" t="str">
        <f>AD152</f>
        <v> Shell</v>
      </c>
      <c r="S152" s="36"/>
      <c r="T152" s="419">
        <f>AG155</f>
        <v>8</v>
      </c>
      <c r="U152" s="417"/>
      <c r="V152" s="95" t="s">
        <v>436</v>
      </c>
      <c r="W152" s="506">
        <v>20000</v>
      </c>
      <c r="X152" s="507"/>
      <c r="Y152" s="508"/>
      <c r="Z152" s="379">
        <f aca="true" t="shared" si="39" ref="Z152:Z160">I152*L152+T152*W152</f>
        <v>660000</v>
      </c>
      <c r="AA152" s="379"/>
      <c r="AB152" s="379"/>
      <c r="AC152" s="6"/>
      <c r="AD152" s="63" t="str">
        <f>A138</f>
        <v> Shell</v>
      </c>
      <c r="AE152" s="6">
        <f>K20</f>
        <v>600</v>
      </c>
      <c r="AF152" s="229">
        <f>N20-IF(AI11="U",AF150)</f>
        <v>5880</v>
      </c>
      <c r="AG152" s="1">
        <f>IF(AI20="pipe","***",IF(AF152&gt;AV152,AV152,AX152))</f>
        <v>3000</v>
      </c>
      <c r="AH152" s="1">
        <f>IF(AI20="pipe",0,1+INT(PI()*AE152/AG152))</f>
        <v>1</v>
      </c>
      <c r="AI152" s="1">
        <f>AF152*AH152/1000</f>
        <v>5.88</v>
      </c>
      <c r="AJ152" s="1">
        <f>IF(AI20="pipe",AX152,IF(AG152=AV152,AX152,AV152))</f>
        <v>6000</v>
      </c>
      <c r="AK152" s="1">
        <f>INT(AF152/AJ152)</f>
        <v>0</v>
      </c>
      <c r="AL152" s="1">
        <f>PI()*AE152*AK152/1000</f>
        <v>0</v>
      </c>
      <c r="AM152" s="1">
        <f>P21+IF(OR(AF11="3",AF11="4"),1)+IF(OR(AH11="3",AH11="4"),1)</f>
        <v>2</v>
      </c>
      <c r="AN152" s="1">
        <f>PI()*AE152*AM152/1000</f>
        <v>3.7699111843077517</v>
      </c>
      <c r="AO152" s="1">
        <f>P22+IF(P22&lt;=0,0,INT((prophead(AF22,AE152,0,7)+2*AF150)/AV152))</f>
        <v>0</v>
      </c>
      <c r="AP152" s="1">
        <f>P22*PI()*AE152/1000+IF(P22&lt;=0,0,INT((prophead(AF22,AE152,0,7)+2*AF150)/AV152))*(prophead(AF22,AE152,0,7)+2*AF150)/1000</f>
        <v>0</v>
      </c>
      <c r="AQ152" s="1">
        <f>PI()*(IF(AND(P31&gt;0,K31&gt;300),P31*K31)+IF(AND(P34&gt;0,K34&gt;300),P34*K34)+IF(P41&gt;0,P41*K41))/1000</f>
        <v>0</v>
      </c>
      <c r="AR152" s="1">
        <f>PI()*(IF(AND(P31&gt;0,K31&lt;300),P31*K31)+IF(AND(P34&gt;0,K34&lt;300),P34*K34)+IF(P37&gt;0,P37*K37)+IF(P39&gt;0,P39*K39))/1000</f>
        <v>1.5440613733128474</v>
      </c>
      <c r="AS152" s="1">
        <f>PI()*(IF(P32&gt;0,P32*K32)+IF(P35&gt;0,P35*K35)+IF(P42&gt;0,P42*K42))*1.5/1000</f>
        <v>4.129466463511104</v>
      </c>
      <c r="AT152" s="1">
        <f>PI()*(IF(AND(P33&gt;0,K31&gt;300),P33*K31)+IF(AND(P36&gt;0,K34&gt;300),P36*K34)+IF(P43&gt;0,P43*K41))/1000</f>
        <v>0</v>
      </c>
      <c r="AU152" s="1">
        <f>PI()*(IF(AND(P33&gt;0,K31&lt;300),P33*K31)+IF(AND(P36&gt;0,K34&lt;300),P36*K34)+IF(P38&gt;0,P38*K37)+IF(P40&gt;0,P40*K39))/1000</f>
        <v>1.5440613733128474</v>
      </c>
      <c r="AV152" s="67">
        <v>3000</v>
      </c>
      <c r="AW152" s="74" t="s">
        <v>32</v>
      </c>
      <c r="AX152" s="67">
        <v>6000</v>
      </c>
    </row>
    <row r="153" spans="1:50" ht="12.75" customHeight="1">
      <c r="A153" s="216" t="s">
        <v>198</v>
      </c>
      <c r="B153" s="216"/>
      <c r="C153" s="216"/>
      <c r="D153" s="246"/>
      <c r="E153" s="169"/>
      <c r="F153" s="32"/>
      <c r="G153" s="32"/>
      <c r="H153" s="32"/>
      <c r="I153" s="483">
        <v>0</v>
      </c>
      <c r="J153" s="484"/>
      <c r="K153" s="96" t="s">
        <v>438</v>
      </c>
      <c r="L153" s="381">
        <v>800000</v>
      </c>
      <c r="M153" s="382"/>
      <c r="N153" s="482"/>
      <c r="O153" s="521"/>
      <c r="P153" s="522"/>
      <c r="Q153" s="522"/>
      <c r="R153" s="58" t="str">
        <f>AD153</f>
        <v> Channel</v>
      </c>
      <c r="S153" s="38"/>
      <c r="T153" s="412">
        <f>AG156</f>
        <v>10</v>
      </c>
      <c r="U153" s="379"/>
      <c r="V153" s="96" t="str">
        <f>V152</f>
        <v>장</v>
      </c>
      <c r="W153" s="378">
        <f>W152</f>
        <v>20000</v>
      </c>
      <c r="X153" s="379"/>
      <c r="Y153" s="380"/>
      <c r="Z153" s="379">
        <f t="shared" si="39"/>
        <v>200000</v>
      </c>
      <c r="AA153" s="379"/>
      <c r="AB153" s="379"/>
      <c r="AD153" s="63" t="str">
        <f>A139</f>
        <v> Channel</v>
      </c>
      <c r="AE153" s="6">
        <f>K65</f>
        <v>600</v>
      </c>
      <c r="AF153" s="229">
        <f>N65-IF(AE11="B",AF150)</f>
        <v>843.52</v>
      </c>
      <c r="AG153" s="1">
        <f>IF(AI65="pipe","***",IF(AF153&gt;AV153,AV153,AX153))</f>
        <v>6000</v>
      </c>
      <c r="AH153" s="1">
        <f>IF(AI65="pipe",0,1+INT(PI()*AE153/AG153))</f>
        <v>1</v>
      </c>
      <c r="AI153" s="1">
        <f>AF153*AH153/1000</f>
        <v>0.8435199999999999</v>
      </c>
      <c r="AJ153" s="1">
        <f>IF(AI65="pipe",AX153,IF(AG153=AV153,AX153,AV153))</f>
        <v>3000</v>
      </c>
      <c r="AK153" s="1">
        <f>INT(AF153/AJ153)</f>
        <v>0</v>
      </c>
      <c r="AL153" s="1">
        <f>PI()*AE153*AK153/1000</f>
        <v>0</v>
      </c>
      <c r="AM153" s="1">
        <f>P65+P69</f>
        <v>1</v>
      </c>
      <c r="AN153" s="1">
        <f>PI()*AE153*AM153/1000</f>
        <v>1.8849555921538759</v>
      </c>
      <c r="AO153" s="1">
        <f>P67+IF(P67&lt;=0,0,INT((prophead(AF67,AE153,0,7)+2*AF150)/AV153))</f>
        <v>1</v>
      </c>
      <c r="AP153" s="1">
        <f>P67*PI()*AE153/1000+IF(P67&lt;=0,0,INT((prophead(AF67,AE153,0,7)+2*AF150)/AV153))*(prophead(AF67,AE153,0,7)+2*AF150)/1000</f>
        <v>1.8849555921538759</v>
      </c>
      <c r="AQ153" s="212" t="s">
        <v>118</v>
      </c>
      <c r="AR153" s="1">
        <f>IF(AND(P31&gt;0,K31&lt;300),P31)+IF(AND(P34&gt;0,K34&lt;300),P34)+IF(P37&gt;0,P37)+IF(P39&gt;0,P39)</f>
        <v>4</v>
      </c>
      <c r="AT153" s="212" t="str">
        <f>AQ153</f>
        <v>Q'ty&gt;</v>
      </c>
      <c r="AU153" s="1">
        <f>IF(AND(P33&gt;0,K31&lt;300),P33)+IF(AND(P36&gt;0,K34&lt;300),P36)+IF(P38&gt;0,P38)+IF(P40&gt;0,P40)</f>
        <v>4</v>
      </c>
      <c r="AV153" s="1">
        <f>AV152</f>
        <v>3000</v>
      </c>
      <c r="AW153" s="74" t="s">
        <v>32</v>
      </c>
      <c r="AX153" s="1">
        <f>AX152</f>
        <v>6000</v>
      </c>
    </row>
    <row r="154" spans="1:50" ht="12.75" customHeight="1">
      <c r="A154" s="216" t="s">
        <v>199</v>
      </c>
      <c r="B154" s="216"/>
      <c r="C154" s="216"/>
      <c r="D154" s="246"/>
      <c r="E154" s="169"/>
      <c r="F154" s="32"/>
      <c r="G154" s="32"/>
      <c r="H154" s="32"/>
      <c r="I154" s="483">
        <v>0</v>
      </c>
      <c r="J154" s="484"/>
      <c r="K154" s="96" t="s">
        <v>438</v>
      </c>
      <c r="L154" s="381">
        <v>300000</v>
      </c>
      <c r="M154" s="382"/>
      <c r="N154" s="482"/>
      <c r="O154" s="523"/>
      <c r="P154" s="524"/>
      <c r="Q154" s="524"/>
      <c r="R154" s="58" t="s">
        <v>428</v>
      </c>
      <c r="S154" s="38"/>
      <c r="T154" s="412"/>
      <c r="U154" s="379"/>
      <c r="V154" s="96" t="str">
        <f>V152</f>
        <v>장</v>
      </c>
      <c r="W154" s="378">
        <f>W152</f>
        <v>20000</v>
      </c>
      <c r="X154" s="379"/>
      <c r="Y154" s="380"/>
      <c r="Z154" s="379">
        <f t="shared" si="39"/>
        <v>0</v>
      </c>
      <c r="AA154" s="379"/>
      <c r="AB154" s="379"/>
      <c r="AD154" s="63" t="s">
        <v>63</v>
      </c>
      <c r="AE154" s="6">
        <f>K74</f>
        <v>600</v>
      </c>
      <c r="AF154" s="229">
        <f>N74-IF(AI11="M",AF150)</f>
        <v>843.52</v>
      </c>
      <c r="AG154" s="1">
        <f>IF(AI74="pipe","***",IF(AF154&gt;AV154,AV154,AX154))</f>
        <v>6000</v>
      </c>
      <c r="AH154" s="1">
        <f>IF(AI74="pipe",0,1+INT(PI()*AE154/AG154))</f>
        <v>1</v>
      </c>
      <c r="AI154" s="1">
        <f>AF154*AH154/1000</f>
        <v>0.8435199999999999</v>
      </c>
      <c r="AJ154" s="1">
        <f>IF(AI74="pipe",AX154,IF(AG154=AV154,AX154,AV154))</f>
        <v>3000</v>
      </c>
      <c r="AK154" s="1">
        <f>INT(AF154/AJ154)</f>
        <v>0</v>
      </c>
      <c r="AL154" s="1">
        <f>PI()*AE154*AK154/1000</f>
        <v>0</v>
      </c>
      <c r="AM154" s="1">
        <f>P74+P78</f>
        <v>1</v>
      </c>
      <c r="AN154" s="1">
        <f>PI()*AE154*AM154/1000</f>
        <v>1.8849555921538759</v>
      </c>
      <c r="AO154" s="1">
        <f>P76+IF(P76&lt;=0,0,INT((prophead(AF76,AE154,0,7)+2*AF150)/AV153))</f>
        <v>1</v>
      </c>
      <c r="AP154" s="1">
        <f>P76*PI()*AE154/1000+IF(P76&lt;=0,0,INT((prophead(AF76,AE154,0,7)+2*AF150)/AV153))*(prophead(AF76,AE154,0,7)+2*AF150)/1000</f>
        <v>1.8849555921538759</v>
      </c>
      <c r="AQ154" s="1">
        <f>PI()*(IF(AND(P83&gt;0,K83&gt;300),P83*K83)+IF(AND(P86&gt;0,K86&gt;300),P86*K86))/1000</f>
        <v>2.553486508837784</v>
      </c>
      <c r="AR154" s="1">
        <f>PI()*(IF(AND(P83&gt;0,K83&lt;300),P83*K83)+IF(AND(P86&gt;0,K86&lt;300),P86*K86)+IF(P89&gt;0,P89*K89)+IF(P91&gt;0,P91*K91))/1000</f>
        <v>0.16757255214247957</v>
      </c>
      <c r="AS154" s="1">
        <f>PI()*(IF(P84&gt;0,P84*K84)+IF(P87&gt;0,P87*K87))*1.5/1000</f>
        <v>7.6604595265133515</v>
      </c>
      <c r="AT154" s="1">
        <f>PI()*(IF(AND(P85&gt;0,K83&lt;300),P85*K83)+IF(AND(P88&gt;0,K86&lt;300),P88*K86)+IF(P90&gt;0,P90*K89)+IF(P92&gt;0,P92*K91))/1000</f>
        <v>0.16757255214247957</v>
      </c>
      <c r="AU154" s="1">
        <f>PI()*(IF(AND(P85&gt;0,K83&lt;300),P85*K83)+IF(AND(P88&gt;0,K86&lt;300),P88*K86)+IF(P90&gt;0,P90*K89)+IF(P92&gt;0,P92*K91))/1000</f>
        <v>0.16757255214247957</v>
      </c>
      <c r="AV154" s="1">
        <f>AV153</f>
        <v>3000</v>
      </c>
      <c r="AW154" s="74" t="s">
        <v>32</v>
      </c>
      <c r="AX154" s="1">
        <f>AX153</f>
        <v>6000</v>
      </c>
    </row>
    <row r="155" spans="1:47" ht="12.75" customHeight="1">
      <c r="A155" s="465" t="s">
        <v>423</v>
      </c>
      <c r="B155" s="465"/>
      <c r="C155" s="465"/>
      <c r="D155" s="709"/>
      <c r="E155" s="169" t="s">
        <v>424</v>
      </c>
      <c r="F155" s="83"/>
      <c r="G155" s="83"/>
      <c r="H155" s="83"/>
      <c r="I155" s="412">
        <f>T137</f>
        <v>0</v>
      </c>
      <c r="J155" s="379"/>
      <c r="K155" s="83" t="s">
        <v>320</v>
      </c>
      <c r="L155" s="381">
        <v>1000</v>
      </c>
      <c r="M155" s="382"/>
      <c r="N155" s="482"/>
      <c r="O155" s="83" t="s">
        <v>430</v>
      </c>
      <c r="P155" s="83"/>
      <c r="Q155" s="83"/>
      <c r="R155" s="169"/>
      <c r="S155" s="174"/>
      <c r="T155" s="412"/>
      <c r="U155" s="379"/>
      <c r="V155" s="83" t="s">
        <v>435</v>
      </c>
      <c r="W155" s="378"/>
      <c r="X155" s="379"/>
      <c r="Y155" s="380"/>
      <c r="Z155" s="379">
        <f t="shared" si="39"/>
        <v>0</v>
      </c>
      <c r="AA155" s="379"/>
      <c r="AB155" s="379"/>
      <c r="AC155" s="63" t="s">
        <v>286</v>
      </c>
      <c r="AD155" s="1">
        <f>M20</f>
        <v>12</v>
      </c>
      <c r="AE155" s="496" t="str">
        <f>AN19</f>
        <v>JE</v>
      </c>
      <c r="AF155" s="277">
        <f>IF(AD155&gt;=38,1,AN20)</f>
        <v>0.85</v>
      </c>
      <c r="AG155" s="1">
        <f>(INT(AJ155*IF(AF155&lt;1,0.2,1)/AL155)+1)*IF(D145&lt;&gt;"Yes",1,2)</f>
        <v>8</v>
      </c>
      <c r="AH155" s="1" t="str">
        <f>V152</f>
        <v>장</v>
      </c>
      <c r="AI155" s="74" t="s">
        <v>22</v>
      </c>
      <c r="AJ155" s="221">
        <f>(AI152+AL152+AP152+AN152)*1000+(AQ152+AT152)*1000+(AR152+AU152)*IF(AF155&lt;1,0,1)*1000</f>
        <v>9649.91118430775</v>
      </c>
      <c r="AK155" s="74" t="s">
        <v>26</v>
      </c>
      <c r="AL155" s="200">
        <v>250</v>
      </c>
      <c r="AM155" s="505" t="s">
        <v>62</v>
      </c>
      <c r="AN155" s="505"/>
      <c r="AQ155" s="212" t="str">
        <f>AQ153</f>
        <v>Q'ty&gt;</v>
      </c>
      <c r="AR155" s="1">
        <f>IF(AND(P83&gt;0,K83&lt;300),P83)+IF(AND(P86&gt;0,K86&lt;300),P86)+IF(P89&gt;0,P89)+IF(P91&gt;0,P91)</f>
        <v>2</v>
      </c>
      <c r="AT155" s="212" t="str">
        <f>AT153</f>
        <v>Q'ty&gt;</v>
      </c>
      <c r="AU155" s="1">
        <f>IF(AND(P85&gt;0,K83&lt;300),P85)+IF(AND(P88&gt;0,K86&lt;300),P88)+IF(P90&gt;0,P90)+IF(P92&gt;0,P92)</f>
        <v>2</v>
      </c>
    </row>
    <row r="156" spans="1:40" ht="12.75" customHeight="1">
      <c r="A156" s="531"/>
      <c r="B156" s="531"/>
      <c r="C156" s="531"/>
      <c r="D156" s="534"/>
      <c r="E156" s="169" t="str">
        <f>AD153</f>
        <v> Channel</v>
      </c>
      <c r="F156" s="83"/>
      <c r="G156" s="83"/>
      <c r="H156" s="83"/>
      <c r="I156" s="412"/>
      <c r="J156" s="379"/>
      <c r="K156" s="83" t="str">
        <f>K155</f>
        <v>ea</v>
      </c>
      <c r="L156" s="378">
        <f>AF161</f>
        <v>6000</v>
      </c>
      <c r="M156" s="379"/>
      <c r="N156" s="540"/>
      <c r="O156" s="624" t="s">
        <v>431</v>
      </c>
      <c r="P156" s="625"/>
      <c r="Q156" s="625"/>
      <c r="R156" s="280" t="s">
        <v>201</v>
      </c>
      <c r="S156" s="174"/>
      <c r="T156" s="412"/>
      <c r="U156" s="379"/>
      <c r="V156" s="96" t="s">
        <v>438</v>
      </c>
      <c r="W156" s="381"/>
      <c r="X156" s="382"/>
      <c r="Y156" s="383"/>
      <c r="Z156" s="379">
        <f t="shared" si="39"/>
        <v>0</v>
      </c>
      <c r="AA156" s="379"/>
      <c r="AB156" s="379"/>
      <c r="AC156" s="63" t="str">
        <f>AC155</f>
        <v>t</v>
      </c>
      <c r="AD156" s="1">
        <f>M65</f>
        <v>12</v>
      </c>
      <c r="AE156" s="496"/>
      <c r="AF156" s="277">
        <f>IF(AD156&gt;=38,1,AN65)</f>
        <v>0.85</v>
      </c>
      <c r="AG156" s="1">
        <f>(INT(AJ156*IF(AF156&lt;1,0.2,1)/AL156)+1)*IF(D145&lt;&gt;"Yes",1,2)</f>
        <v>10</v>
      </c>
      <c r="AH156" s="1" t="str">
        <f>V153</f>
        <v>장</v>
      </c>
      <c r="AI156" s="74" t="s">
        <v>22</v>
      </c>
      <c r="AJ156" s="221">
        <f>(AI153+AL153+AP153+AN153)*1000+(AI154+AL154+AP154+AN154)*1000+(AQ154+AT154)*1000+(AR154+AU154)*IF(AF156&lt;1,0,1)*1000</f>
        <v>11947.921429595766</v>
      </c>
      <c r="AK156" s="74" t="s">
        <v>26</v>
      </c>
      <c r="AL156" s="74">
        <f>AL155</f>
        <v>250</v>
      </c>
      <c r="AM156" s="505"/>
      <c r="AN156" s="505"/>
    </row>
    <row r="157" spans="1:29" ht="12.75" customHeight="1">
      <c r="A157" s="495"/>
      <c r="B157" s="495"/>
      <c r="C157" s="495"/>
      <c r="D157" s="710"/>
      <c r="E157" s="169" t="s">
        <v>427</v>
      </c>
      <c r="F157" s="83"/>
      <c r="G157" s="83"/>
      <c r="H157" s="83"/>
      <c r="I157" s="412"/>
      <c r="J157" s="379"/>
      <c r="K157" s="83" t="str">
        <f>K155</f>
        <v>ea</v>
      </c>
      <c r="L157" s="378">
        <f>L156</f>
        <v>6000</v>
      </c>
      <c r="M157" s="379"/>
      <c r="N157" s="540"/>
      <c r="O157" s="523"/>
      <c r="P157" s="524"/>
      <c r="Q157" s="524"/>
      <c r="R157" s="280" t="s">
        <v>202</v>
      </c>
      <c r="S157" s="174"/>
      <c r="T157" s="412"/>
      <c r="U157" s="379"/>
      <c r="V157" s="96" t="str">
        <f>V156</f>
        <v>식</v>
      </c>
      <c r="W157" s="381"/>
      <c r="X157" s="382"/>
      <c r="Y157" s="383"/>
      <c r="Z157" s="379">
        <f t="shared" si="39"/>
        <v>0</v>
      </c>
      <c r="AA157" s="379"/>
      <c r="AB157" s="379"/>
      <c r="AC157" s="6"/>
    </row>
    <row r="158" spans="1:28" ht="12.75" customHeight="1">
      <c r="A158" s="625" t="s">
        <v>425</v>
      </c>
      <c r="B158" s="625"/>
      <c r="C158" s="625"/>
      <c r="D158" s="625"/>
      <c r="E158" s="58" t="s">
        <v>426</v>
      </c>
      <c r="F158" s="32"/>
      <c r="G158" s="32"/>
      <c r="H158" s="32"/>
      <c r="I158" s="412"/>
      <c r="J158" s="379"/>
      <c r="K158" s="83" t="s">
        <v>435</v>
      </c>
      <c r="L158" s="378">
        <f>AH161</f>
        <v>5000</v>
      </c>
      <c r="M158" s="379"/>
      <c r="N158" s="540"/>
      <c r="O158" s="32" t="s">
        <v>434</v>
      </c>
      <c r="P158" s="32"/>
      <c r="Q158" s="32"/>
      <c r="R158" s="284" t="str">
        <f>R144</f>
        <v>No</v>
      </c>
      <c r="S158" s="38"/>
      <c r="T158" s="412">
        <f>IF(R158&lt;&gt;"Yes",0,1)</f>
        <v>0</v>
      </c>
      <c r="U158" s="379"/>
      <c r="V158" s="96" t="s">
        <v>437</v>
      </c>
      <c r="W158" s="381">
        <v>3000000</v>
      </c>
      <c r="X158" s="382"/>
      <c r="Y158" s="383"/>
      <c r="Z158" s="379">
        <f t="shared" si="39"/>
        <v>0</v>
      </c>
      <c r="AA158" s="379"/>
      <c r="AB158" s="379"/>
    </row>
    <row r="159" spans="1:41" ht="12.75" customHeight="1">
      <c r="A159" s="522"/>
      <c r="B159" s="522"/>
      <c r="C159" s="522"/>
      <c r="D159" s="522"/>
      <c r="E159" s="169" t="str">
        <f>E156</f>
        <v> Channel</v>
      </c>
      <c r="F159" s="83"/>
      <c r="G159" s="83"/>
      <c r="H159" s="83"/>
      <c r="I159" s="412"/>
      <c r="J159" s="379"/>
      <c r="K159" s="83" t="str">
        <f>K158</f>
        <v>m</v>
      </c>
      <c r="L159" s="378">
        <f>L158</f>
        <v>5000</v>
      </c>
      <c r="M159" s="379"/>
      <c r="N159" s="540"/>
      <c r="O159" s="83" t="s">
        <v>412</v>
      </c>
      <c r="P159" s="83"/>
      <c r="Q159" s="83"/>
      <c r="R159" s="169"/>
      <c r="S159" s="174"/>
      <c r="T159" s="513">
        <v>1</v>
      </c>
      <c r="U159" s="514"/>
      <c r="V159" s="83" t="s">
        <v>441</v>
      </c>
      <c r="W159" s="381">
        <v>200000</v>
      </c>
      <c r="X159" s="382"/>
      <c r="Y159" s="383"/>
      <c r="Z159" s="379">
        <f t="shared" si="39"/>
        <v>200000</v>
      </c>
      <c r="AA159" s="379"/>
      <c r="AB159" s="379"/>
      <c r="AC159" s="6"/>
      <c r="AD159" s="370" t="str">
        <f>A155</f>
        <v> PT 검사</v>
      </c>
      <c r="AE159" s="370"/>
      <c r="AF159" s="370"/>
      <c r="AG159" s="370"/>
      <c r="AH159" s="370" t="str">
        <f>A158</f>
        <v> MT 검사</v>
      </c>
      <c r="AI159" s="370"/>
      <c r="AJ159" s="370"/>
      <c r="AK159" s="370"/>
      <c r="AL159" s="370" t="str">
        <f>O155</f>
        <v> UT 검사</v>
      </c>
      <c r="AM159" s="370"/>
      <c r="AN159" s="370"/>
      <c r="AO159" s="370"/>
    </row>
    <row r="160" spans="1:41" ht="12.75" customHeight="1">
      <c r="A160" s="522"/>
      <c r="B160" s="522"/>
      <c r="C160" s="522"/>
      <c r="D160" s="522"/>
      <c r="E160" s="624" t="s">
        <v>428</v>
      </c>
      <c r="F160" s="625"/>
      <c r="G160" s="83" t="str">
        <f>AS150</f>
        <v>Pad</v>
      </c>
      <c r="H160" s="83"/>
      <c r="I160" s="468">
        <f>AS152+AS154</f>
        <v>11.789925990024456</v>
      </c>
      <c r="J160" s="479"/>
      <c r="K160" s="83" t="s">
        <v>51</v>
      </c>
      <c r="L160" s="378">
        <f>AH161</f>
        <v>5000</v>
      </c>
      <c r="M160" s="379"/>
      <c r="N160" s="540"/>
      <c r="O160" s="5"/>
      <c r="P160" s="5"/>
      <c r="Q160" s="5"/>
      <c r="R160" s="116"/>
      <c r="S160" s="278"/>
      <c r="T160" s="430"/>
      <c r="U160" s="407"/>
      <c r="V160" s="122"/>
      <c r="W160" s="497"/>
      <c r="X160" s="498"/>
      <c r="Y160" s="499"/>
      <c r="Z160" s="407">
        <f t="shared" si="39"/>
        <v>58949.629950122275</v>
      </c>
      <c r="AA160" s="407"/>
      <c r="AB160" s="407"/>
      <c r="AC160" s="5"/>
      <c r="AD160" s="369" t="s">
        <v>207</v>
      </c>
      <c r="AE160" s="369"/>
      <c r="AF160" s="369" t="s">
        <v>208</v>
      </c>
      <c r="AG160" s="369"/>
      <c r="AH160" s="369" t="s">
        <v>207</v>
      </c>
      <c r="AI160" s="369"/>
      <c r="AJ160" s="369" t="s">
        <v>208</v>
      </c>
      <c r="AK160" s="369"/>
      <c r="AL160" s="369" t="s">
        <v>207</v>
      </c>
      <c r="AM160" s="369"/>
      <c r="AN160" s="369" t="s">
        <v>208</v>
      </c>
      <c r="AO160" s="369"/>
    </row>
    <row r="161" spans="1:41" ht="12.75" customHeight="1">
      <c r="A161" s="711"/>
      <c r="B161" s="711"/>
      <c r="C161" s="711"/>
      <c r="D161" s="711"/>
      <c r="E161" s="725"/>
      <c r="F161" s="711"/>
      <c r="G161" s="84"/>
      <c r="H161" s="84"/>
      <c r="I161" s="415"/>
      <c r="J161" s="406"/>
      <c r="K161" s="84" t="s">
        <v>122</v>
      </c>
      <c r="L161" s="627">
        <f>AJ161</f>
        <v>5000</v>
      </c>
      <c r="M161" s="427"/>
      <c r="N161" s="628"/>
      <c r="O161" s="170"/>
      <c r="P161" s="84"/>
      <c r="Q161" s="84"/>
      <c r="R161" s="170"/>
      <c r="S161" s="279"/>
      <c r="T161" s="415"/>
      <c r="U161" s="406"/>
      <c r="V161" s="84"/>
      <c r="W161" s="403"/>
      <c r="X161" s="404"/>
      <c r="Y161" s="405"/>
      <c r="Z161" s="406">
        <f>I161*L161+T161*W161</f>
        <v>0</v>
      </c>
      <c r="AA161" s="406"/>
      <c r="AB161" s="406"/>
      <c r="AD161" s="726">
        <v>6000</v>
      </c>
      <c r="AE161" s="726"/>
      <c r="AF161" s="726">
        <v>6000</v>
      </c>
      <c r="AG161" s="726"/>
      <c r="AH161" s="726">
        <v>5000</v>
      </c>
      <c r="AI161" s="726"/>
      <c r="AJ161" s="726">
        <v>5000</v>
      </c>
      <c r="AK161" s="726"/>
      <c r="AL161" s="726">
        <v>15000</v>
      </c>
      <c r="AM161" s="726"/>
      <c r="AN161" s="726">
        <v>12000</v>
      </c>
      <c r="AO161" s="726"/>
    </row>
    <row r="162" spans="1:29" ht="12.7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529" t="s">
        <v>315</v>
      </c>
      <c r="Y162" s="530"/>
      <c r="Z162" s="425">
        <f>SUM(Z152:AB161)</f>
        <v>1118949.6299501222</v>
      </c>
      <c r="AA162" s="425"/>
      <c r="AB162" s="425"/>
      <c r="AC162" s="6"/>
    </row>
    <row r="163" spans="1:33" ht="12.75" customHeight="1">
      <c r="A163" s="260">
        <v>5</v>
      </c>
      <c r="B163" s="501" t="s">
        <v>312</v>
      </c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  <c r="X163" s="502"/>
      <c r="Y163" s="502"/>
      <c r="Z163" s="502"/>
      <c r="AA163" s="502"/>
      <c r="AB163" s="502"/>
      <c r="AC163" s="6"/>
      <c r="AD163" s="152" t="s">
        <v>78</v>
      </c>
      <c r="AG163" s="152" t="s">
        <v>368</v>
      </c>
    </row>
    <row r="164" spans="1:39" ht="12.75" customHeight="1">
      <c r="A164" s="82" t="s">
        <v>317</v>
      </c>
      <c r="B164" s="82"/>
      <c r="C164" s="82"/>
      <c r="D164" s="263" t="s">
        <v>449</v>
      </c>
      <c r="E164" s="708">
        <f>IF(D164&lt;&gt;"Yes",0,AD164+AG164)</f>
        <v>1.9513659040209237</v>
      </c>
      <c r="F164" s="708"/>
      <c r="G164" s="82" t="s">
        <v>319</v>
      </c>
      <c r="H164" s="82"/>
      <c r="I164" s="91"/>
      <c r="J164" s="605">
        <v>5000</v>
      </c>
      <c r="K164" s="605"/>
      <c r="L164" s="417">
        <f>E164*J164</f>
        <v>9756.829520104618</v>
      </c>
      <c r="M164" s="417"/>
      <c r="N164" s="417"/>
      <c r="O164" s="92" t="s">
        <v>318</v>
      </c>
      <c r="P164" s="82"/>
      <c r="Q164" s="82"/>
      <c r="R164" s="82"/>
      <c r="S164" s="623"/>
      <c r="T164" s="623"/>
      <c r="U164" s="82" t="s">
        <v>319</v>
      </c>
      <c r="V164" s="82"/>
      <c r="W164" s="91"/>
      <c r="X164" s="605">
        <v>15000</v>
      </c>
      <c r="Y164" s="605"/>
      <c r="Z164" s="606">
        <f>S164*X164</f>
        <v>0</v>
      </c>
      <c r="AA164" s="606"/>
      <c r="AB164" s="606"/>
      <c r="AC164" s="6"/>
      <c r="AD164" s="1">
        <f>data_file($AF$3,$AE$9,AJ164,AK164)</f>
        <v>1.021639566866083</v>
      </c>
      <c r="AF164" s="74" t="s">
        <v>66</v>
      </c>
      <c r="AG164" s="1">
        <f>data_file($AF$3,$AE$9,AL164,AM164)</f>
        <v>0.9297263371548408</v>
      </c>
      <c r="AJ164" s="67">
        <v>20</v>
      </c>
      <c r="AK164" s="67">
        <v>26</v>
      </c>
      <c r="AL164" s="1">
        <f>AJ164+1</f>
        <v>21</v>
      </c>
      <c r="AM164" s="1">
        <f>AK164</f>
        <v>26</v>
      </c>
    </row>
    <row r="165" spans="1:29" ht="12.75" customHeight="1">
      <c r="A165" s="285" t="s">
        <v>468</v>
      </c>
      <c r="B165" s="285"/>
      <c r="C165" s="285"/>
      <c r="D165" s="285"/>
      <c r="E165" s="286"/>
      <c r="F165" s="250"/>
      <c r="G165" s="122"/>
      <c r="H165" s="122"/>
      <c r="I165" s="122"/>
      <c r="J165" s="122"/>
      <c r="K165" s="122"/>
      <c r="L165" s="407">
        <f>IF(D164&lt;&gt;"Yes",0,Z33+Z36+Z38+Z40+Z85+Z88+Z90+Z92)*1.5</f>
        <v>765000</v>
      </c>
      <c r="M165" s="407"/>
      <c r="N165" s="407"/>
      <c r="O165" s="289" t="str">
        <f>" -&gt; "&amp;A165&amp;" 설치 작업"</f>
        <v> -&gt;  Mating Flg / Gasket / B&amp;N 설치 작업</v>
      </c>
      <c r="P165" s="287"/>
      <c r="Q165" s="287"/>
      <c r="R165" s="287"/>
      <c r="S165" s="287"/>
      <c r="T165" s="287"/>
      <c r="U165" s="83"/>
      <c r="V165" s="290">
        <v>2</v>
      </c>
      <c r="W165" s="83" t="s">
        <v>441</v>
      </c>
      <c r="X165" s="382">
        <v>200000</v>
      </c>
      <c r="Y165" s="382"/>
      <c r="Z165" s="407">
        <f>IF(D164&lt;&gt;"Yes",0,V165*X165)</f>
        <v>400000</v>
      </c>
      <c r="AA165" s="407"/>
      <c r="AB165" s="407"/>
      <c r="AC165" s="5"/>
    </row>
    <row r="166" spans="1:28" ht="12.75" customHeight="1">
      <c r="A166" s="122" t="s">
        <v>79</v>
      </c>
      <c r="B166" s="122"/>
      <c r="C166" s="122"/>
      <c r="D166" s="122"/>
      <c r="E166" s="433">
        <f>IF(D164="Yes",0,1+INT(AD164/AG167)+(1+INT(AG164/(P65+P74)/AG167))*(P65+P74))</f>
        <v>0</v>
      </c>
      <c r="F166" s="433"/>
      <c r="G166" s="122" t="str">
        <f>AE167</f>
        <v>봉</v>
      </c>
      <c r="H166" s="122"/>
      <c r="I166" s="122"/>
      <c r="J166" s="498">
        <v>3000</v>
      </c>
      <c r="K166" s="498"/>
      <c r="L166" s="407">
        <f>E166*J166</f>
        <v>0</v>
      </c>
      <c r="M166" s="407"/>
      <c r="N166" s="407"/>
      <c r="O166" s="289" t="s">
        <v>469</v>
      </c>
      <c r="P166" s="288"/>
      <c r="Q166" s="288"/>
      <c r="R166" s="288"/>
      <c r="S166" s="288"/>
      <c r="T166" s="288"/>
      <c r="U166" s="33"/>
      <c r="V166" s="291">
        <v>1</v>
      </c>
      <c r="W166" s="33" t="str">
        <f>W165</f>
        <v>MD</v>
      </c>
      <c r="X166" s="406">
        <f>X165</f>
        <v>200000</v>
      </c>
      <c r="Y166" s="406"/>
      <c r="Z166" s="407">
        <f>IF(D164="Yes",0,V166*X166)</f>
        <v>0</v>
      </c>
      <c r="AA166" s="407"/>
      <c r="AB166" s="407"/>
    </row>
    <row r="167" spans="1:34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85"/>
      <c r="P167" s="85"/>
      <c r="Q167" s="85"/>
      <c r="R167" s="85"/>
      <c r="S167" s="85"/>
      <c r="T167" s="85"/>
      <c r="U167" s="85"/>
      <c r="V167" s="85"/>
      <c r="W167" s="85"/>
      <c r="X167" s="529" t="s">
        <v>315</v>
      </c>
      <c r="Y167" s="530"/>
      <c r="Z167" s="425">
        <f>SUM(L164:N166)+SUM(Z164:AB166)</f>
        <v>1174756.8295201045</v>
      </c>
      <c r="AA167" s="425"/>
      <c r="AB167" s="425"/>
      <c r="AC167" s="6"/>
      <c r="AD167" s="74">
        <v>1</v>
      </c>
      <c r="AE167" s="241" t="s">
        <v>80</v>
      </c>
      <c r="AF167" s="74" t="s">
        <v>81</v>
      </c>
      <c r="AG167" s="200">
        <v>5</v>
      </c>
      <c r="AH167" s="74" t="s">
        <v>319</v>
      </c>
    </row>
    <row r="168" spans="1:29" ht="12.75" customHeight="1">
      <c r="A168" s="260">
        <v>6</v>
      </c>
      <c r="B168" s="501" t="s">
        <v>313</v>
      </c>
      <c r="C168" s="502"/>
      <c r="D168" s="502"/>
      <c r="E168" s="502"/>
      <c r="F168" s="502"/>
      <c r="G168" s="502"/>
      <c r="H168" s="502"/>
      <c r="I168" s="502"/>
      <c r="J168" s="502"/>
      <c r="K168" s="502"/>
      <c r="L168" s="502"/>
      <c r="M168" s="502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  <c r="Y168" s="502"/>
      <c r="Z168" s="502"/>
      <c r="AA168" s="502"/>
      <c r="AB168" s="502"/>
      <c r="AC168" s="6"/>
    </row>
    <row r="169" spans="1:29" ht="12.75" customHeight="1">
      <c r="A169" s="5" t="s">
        <v>322</v>
      </c>
      <c r="B169" s="5"/>
      <c r="C169" s="5"/>
      <c r="D169" s="5"/>
      <c r="E169" s="622">
        <v>0</v>
      </c>
      <c r="F169" s="622"/>
      <c r="G169" s="5" t="s">
        <v>326</v>
      </c>
      <c r="H169" s="5"/>
      <c r="I169" s="621">
        <v>200000</v>
      </c>
      <c r="J169" s="621"/>
      <c r="K169" s="621"/>
      <c r="L169" s="633">
        <f>E169*I169</f>
        <v>0</v>
      </c>
      <c r="M169" s="633"/>
      <c r="N169" s="633"/>
      <c r="O169" s="86" t="s">
        <v>324</v>
      </c>
      <c r="P169" s="5"/>
      <c r="Q169" s="5"/>
      <c r="R169" s="5"/>
      <c r="S169" s="622">
        <v>1</v>
      </c>
      <c r="T169" s="622"/>
      <c r="U169" s="88" t="s">
        <v>325</v>
      </c>
      <c r="V169" s="5"/>
      <c r="W169" s="632">
        <f>IF(Q119&lt;5000,300000,Q119*100)</f>
        <v>300000</v>
      </c>
      <c r="X169" s="632"/>
      <c r="Y169" s="632"/>
      <c r="Z169" s="633">
        <f>S169*W169</f>
        <v>300000</v>
      </c>
      <c r="AA169" s="633"/>
      <c r="AB169" s="633"/>
      <c r="AC169" s="6"/>
    </row>
    <row r="170" spans="1:29" ht="12.75" customHeight="1">
      <c r="A170" s="5" t="s">
        <v>323</v>
      </c>
      <c r="B170" s="5"/>
      <c r="C170" s="5"/>
      <c r="D170" s="5"/>
      <c r="E170" s="620">
        <v>0</v>
      </c>
      <c r="F170" s="620"/>
      <c r="G170" s="88" t="s">
        <v>325</v>
      </c>
      <c r="H170" s="5"/>
      <c r="I170" s="656">
        <v>3000000</v>
      </c>
      <c r="J170" s="656"/>
      <c r="K170" s="656"/>
      <c r="L170" s="657">
        <f>E170*I170</f>
        <v>0</v>
      </c>
      <c r="M170" s="657"/>
      <c r="N170" s="658"/>
      <c r="O170" s="8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</row>
    <row r="171" spans="1:37" ht="12.7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529" t="s">
        <v>315</v>
      </c>
      <c r="Y171" s="530"/>
      <c r="Z171" s="425">
        <f>L169+L170+Z169</f>
        <v>300000</v>
      </c>
      <c r="AA171" s="425"/>
      <c r="AB171" s="425"/>
      <c r="AC171" s="6"/>
      <c r="AD171" s="614" t="s">
        <v>338</v>
      </c>
      <c r="AE171" s="615"/>
      <c r="AF171" s="615"/>
      <c r="AG171" s="615"/>
      <c r="AH171" s="615"/>
      <c r="AI171" s="615"/>
      <c r="AJ171" s="615"/>
      <c r="AK171" s="615"/>
    </row>
    <row r="172" spans="1:37" ht="12.75" customHeight="1">
      <c r="A172" s="260">
        <v>7</v>
      </c>
      <c r="B172" s="501" t="s">
        <v>314</v>
      </c>
      <c r="C172" s="502"/>
      <c r="D172" s="502"/>
      <c r="E172" s="502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  <c r="Y172" s="502"/>
      <c r="Z172" s="502"/>
      <c r="AA172" s="502"/>
      <c r="AB172" s="502"/>
      <c r="AC172" s="5"/>
      <c r="AD172" s="109" t="str">
        <f>B11</f>
        <v>자 재 비</v>
      </c>
      <c r="AE172" s="31"/>
      <c r="AF172" s="417">
        <f>Z119</f>
        <v>11267922.217716904</v>
      </c>
      <c r="AG172" s="417"/>
      <c r="AH172" s="417"/>
      <c r="AI172" s="616">
        <f>AF172/AF181*100</f>
        <v>26.299340038267072</v>
      </c>
      <c r="AJ172" s="616"/>
      <c r="AK172" s="31" t="s">
        <v>247</v>
      </c>
    </row>
    <row r="173" spans="1:37" ht="12.75" customHeight="1">
      <c r="A173" s="82" t="s">
        <v>327</v>
      </c>
      <c r="B173" s="82"/>
      <c r="C173" s="82"/>
      <c r="D173" s="82"/>
      <c r="E173" s="608">
        <v>1</v>
      </c>
      <c r="F173" s="608"/>
      <c r="G173" s="95" t="s">
        <v>325</v>
      </c>
      <c r="H173" s="82"/>
      <c r="I173" s="605">
        <v>1000000</v>
      </c>
      <c r="J173" s="605"/>
      <c r="K173" s="605"/>
      <c r="L173" s="606">
        <f>E173*I173</f>
        <v>1000000</v>
      </c>
      <c r="M173" s="606"/>
      <c r="N173" s="607"/>
      <c r="O173" s="92" t="s">
        <v>331</v>
      </c>
      <c r="P173" s="82"/>
      <c r="Q173" s="82"/>
      <c r="R173" s="82"/>
      <c r="S173" s="608">
        <v>0</v>
      </c>
      <c r="T173" s="608"/>
      <c r="U173" s="95" t="s">
        <v>325</v>
      </c>
      <c r="V173" s="82"/>
      <c r="W173" s="605">
        <v>3000000</v>
      </c>
      <c r="X173" s="605"/>
      <c r="Y173" s="605"/>
      <c r="Z173" s="606">
        <f>S173*W173</f>
        <v>0</v>
      </c>
      <c r="AA173" s="606"/>
      <c r="AB173" s="606"/>
      <c r="AC173" s="5"/>
      <c r="AD173" s="110" t="str">
        <f>B121</f>
        <v>가 공 비</v>
      </c>
      <c r="AE173" s="32"/>
      <c r="AF173" s="379">
        <f>Z132</f>
        <v>4193003.878412491</v>
      </c>
      <c r="AG173" s="379"/>
      <c r="AH173" s="379"/>
      <c r="AI173" s="602">
        <f>AF173/AF181*100</f>
        <v>9.786474617898651</v>
      </c>
      <c r="AJ173" s="602"/>
      <c r="AK173" s="32" t="s">
        <v>247</v>
      </c>
    </row>
    <row r="174" spans="1:37" ht="12.75" customHeight="1">
      <c r="A174" s="83" t="s">
        <v>328</v>
      </c>
      <c r="B174" s="83"/>
      <c r="C174" s="83"/>
      <c r="D174" s="83"/>
      <c r="E174" s="609">
        <v>1</v>
      </c>
      <c r="F174" s="609"/>
      <c r="G174" s="96" t="s">
        <v>325</v>
      </c>
      <c r="H174" s="83"/>
      <c r="I174" s="611">
        <v>1000000</v>
      </c>
      <c r="J174" s="611"/>
      <c r="K174" s="611"/>
      <c r="L174" s="612">
        <f>E174*I174</f>
        <v>1000000</v>
      </c>
      <c r="M174" s="612"/>
      <c r="N174" s="613"/>
      <c r="O174" s="97" t="s">
        <v>332</v>
      </c>
      <c r="P174" s="83"/>
      <c r="Q174" s="83"/>
      <c r="R174" s="83"/>
      <c r="S174" s="609">
        <v>0</v>
      </c>
      <c r="T174" s="609"/>
      <c r="U174" s="96" t="s">
        <v>325</v>
      </c>
      <c r="V174" s="83"/>
      <c r="W174" s="611">
        <v>5000000</v>
      </c>
      <c r="X174" s="611"/>
      <c r="Y174" s="611"/>
      <c r="Z174" s="612">
        <f>S174*W174</f>
        <v>0</v>
      </c>
      <c r="AA174" s="612"/>
      <c r="AB174" s="612"/>
      <c r="AC174" s="5"/>
      <c r="AD174" s="110" t="str">
        <f>B133</f>
        <v>제 작 비</v>
      </c>
      <c r="AE174" s="32"/>
      <c r="AF174" s="379">
        <f>Z150</f>
        <v>11660253.290666558</v>
      </c>
      <c r="AG174" s="379"/>
      <c r="AH174" s="379"/>
      <c r="AI174" s="602">
        <f>AF174/AF181*100</f>
        <v>27.21504109616555</v>
      </c>
      <c r="AJ174" s="602"/>
      <c r="AK174" s="32" t="s">
        <v>247</v>
      </c>
    </row>
    <row r="175" spans="1:37" ht="12.75" customHeight="1">
      <c r="A175" s="83" t="s">
        <v>329</v>
      </c>
      <c r="B175" s="83"/>
      <c r="C175" s="83"/>
      <c r="D175" s="83"/>
      <c r="E175" s="609">
        <v>1</v>
      </c>
      <c r="F175" s="609"/>
      <c r="G175" s="96" t="s">
        <v>325</v>
      </c>
      <c r="H175" s="83"/>
      <c r="I175" s="611">
        <v>1000000</v>
      </c>
      <c r="J175" s="611"/>
      <c r="K175" s="611"/>
      <c r="L175" s="612">
        <f>E175*I175</f>
        <v>1000000</v>
      </c>
      <c r="M175" s="612"/>
      <c r="N175" s="613"/>
      <c r="O175" s="97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6"/>
      <c r="AD175" s="110" t="str">
        <f>B151</f>
        <v>검 사 비</v>
      </c>
      <c r="AE175" s="32"/>
      <c r="AF175" s="379">
        <f>Z162</f>
        <v>1118949.6299501222</v>
      </c>
      <c r="AG175" s="379"/>
      <c r="AH175" s="379"/>
      <c r="AI175" s="602">
        <f>AF175/AF181*100</f>
        <v>2.6116293878459143</v>
      </c>
      <c r="AJ175" s="602"/>
      <c r="AK175" s="32" t="s">
        <v>247</v>
      </c>
    </row>
    <row r="176" spans="1:37" ht="12.75" customHeight="1">
      <c r="A176" s="84" t="s">
        <v>330</v>
      </c>
      <c r="B176" s="84"/>
      <c r="C176" s="84"/>
      <c r="D176" s="84"/>
      <c r="E176" s="610">
        <v>1</v>
      </c>
      <c r="F176" s="610"/>
      <c r="G176" s="98" t="s">
        <v>325</v>
      </c>
      <c r="H176" s="84"/>
      <c r="I176" s="626">
        <v>1000000</v>
      </c>
      <c r="J176" s="626"/>
      <c r="K176" s="626"/>
      <c r="L176" s="603">
        <f>E176*I176</f>
        <v>1000000</v>
      </c>
      <c r="M176" s="603"/>
      <c r="N176" s="604"/>
      <c r="O176" s="9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5"/>
      <c r="AD176" s="110" t="str">
        <f>B163</f>
        <v>포 장 비</v>
      </c>
      <c r="AE176" s="32"/>
      <c r="AF176" s="379">
        <f>Z167</f>
        <v>1174756.8295201045</v>
      </c>
      <c r="AG176" s="379"/>
      <c r="AH176" s="379"/>
      <c r="AI176" s="602">
        <f>AF176/AF181*100</f>
        <v>2.741883439100075</v>
      </c>
      <c r="AJ176" s="602"/>
      <c r="AK176" s="32" t="s">
        <v>247</v>
      </c>
    </row>
    <row r="177" spans="1:37" ht="12.7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529" t="s">
        <v>315</v>
      </c>
      <c r="Y177" s="530"/>
      <c r="Z177" s="425">
        <f>L173+L174+L175+L176+Z173+Z174</f>
        <v>4000000</v>
      </c>
      <c r="AA177" s="425"/>
      <c r="AB177" s="425"/>
      <c r="AC177" s="6"/>
      <c r="AD177" s="110" t="str">
        <f>B168</f>
        <v>운 반 비</v>
      </c>
      <c r="AE177" s="32"/>
      <c r="AF177" s="379">
        <f>Z171</f>
        <v>300000</v>
      </c>
      <c r="AG177" s="379"/>
      <c r="AH177" s="379"/>
      <c r="AI177" s="602">
        <f>AF177/AF181*100</f>
        <v>0.7002002551166657</v>
      </c>
      <c r="AJ177" s="602"/>
      <c r="AK177" s="32" t="s">
        <v>247</v>
      </c>
    </row>
    <row r="178" spans="1:37" ht="12.7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101" t="str">
        <f>"제  조  원  가 ( "&amp;A11&amp;" +"&amp;A121&amp;" +"&amp;A133&amp;" +"&amp;A151&amp;" +"&amp;A163&amp;" +"&amp;A168&amp;" +"&amp;A172&amp;" )"</f>
        <v>제  조  원  가 ( 1 +2 +3 +4 +5 +6 +7 )</v>
      </c>
      <c r="Y178" s="102" t="s">
        <v>213</v>
      </c>
      <c r="Z178" s="426">
        <f>ROUND(Z119+Z132+Z150+Z162+Z167+Z171+Z177,-4)</f>
        <v>33710000</v>
      </c>
      <c r="AA178" s="426"/>
      <c r="AB178" s="426"/>
      <c r="AC178" s="5"/>
      <c r="AD178" s="110" t="str">
        <f>B172</f>
        <v>설 계 비</v>
      </c>
      <c r="AE178" s="32"/>
      <c r="AF178" s="379">
        <f>Z177</f>
        <v>4000000</v>
      </c>
      <c r="AG178" s="379"/>
      <c r="AH178" s="379"/>
      <c r="AI178" s="602">
        <f>AF178/AF181*100</f>
        <v>9.336003401555542</v>
      </c>
      <c r="AJ178" s="602"/>
      <c r="AK178" s="32" t="s">
        <v>247</v>
      </c>
    </row>
    <row r="179" spans="1:37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106" t="s">
        <v>333</v>
      </c>
      <c r="U179" s="5"/>
      <c r="W179" s="105">
        <v>8</v>
      </c>
      <c r="X179" s="5" t="s">
        <v>247</v>
      </c>
      <c r="Y179" s="103" t="s">
        <v>213</v>
      </c>
      <c r="Z179" s="617">
        <f>ROUND(Z178*W179/100,-4)</f>
        <v>2700000</v>
      </c>
      <c r="AA179" s="617"/>
      <c r="AB179" s="617"/>
      <c r="AC179" s="5"/>
      <c r="AD179" s="110" t="str">
        <f>T179</f>
        <v>일반관리비</v>
      </c>
      <c r="AE179" s="32"/>
      <c r="AF179" s="379">
        <f>Z179</f>
        <v>2700000</v>
      </c>
      <c r="AG179" s="379"/>
      <c r="AH179" s="379"/>
      <c r="AI179" s="602">
        <f>AF179/AF181*100</f>
        <v>6.301802296049991</v>
      </c>
      <c r="AJ179" s="602"/>
      <c r="AK179" s="32" t="s">
        <v>247</v>
      </c>
    </row>
    <row r="180" spans="1:37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106" t="s">
        <v>334</v>
      </c>
      <c r="U180" s="5"/>
      <c r="W180" s="105">
        <v>15</v>
      </c>
      <c r="X180" s="5" t="s">
        <v>247</v>
      </c>
      <c r="Y180" s="103" t="s">
        <v>213</v>
      </c>
      <c r="Z180" s="427">
        <f>ROUND((Z178+Z179)*(1/(1-W180/100)-1),-4)</f>
        <v>6430000</v>
      </c>
      <c r="AA180" s="427"/>
      <c r="AB180" s="427"/>
      <c r="AC180" s="5"/>
      <c r="AD180" s="111" t="str">
        <f>T180</f>
        <v>이 윤</v>
      </c>
      <c r="AE180" s="54"/>
      <c r="AF180" s="407">
        <f>Z180</f>
        <v>6430000</v>
      </c>
      <c r="AG180" s="407"/>
      <c r="AH180" s="407"/>
      <c r="AI180" s="618">
        <f>AF180/AF181*100</f>
        <v>15.007625468000535</v>
      </c>
      <c r="AJ180" s="618"/>
      <c r="AK180" s="54" t="s">
        <v>247</v>
      </c>
    </row>
    <row r="181" spans="1:37" ht="12.7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107" t="s">
        <v>336</v>
      </c>
      <c r="U181" s="99"/>
      <c r="V181" s="99"/>
      <c r="W181" s="108" t="s">
        <v>337</v>
      </c>
      <c r="X181" s="68"/>
      <c r="Y181" s="102" t="s">
        <v>213</v>
      </c>
      <c r="Z181" s="425">
        <f>ROUND(SUM(Z178+Z179+Z180),-4)</f>
        <v>42840000</v>
      </c>
      <c r="AA181" s="425"/>
      <c r="AB181" s="425"/>
      <c r="AC181" s="5"/>
      <c r="AD181" s="112" t="str">
        <f>T181</f>
        <v>견적가</v>
      </c>
      <c r="AE181" s="68"/>
      <c r="AF181" s="478">
        <f>SUM(AF172:AH180)</f>
        <v>42844885.84626618</v>
      </c>
      <c r="AG181" s="478"/>
      <c r="AH181" s="478"/>
      <c r="AI181" s="619">
        <f>SUM(AI172:AJ180)</f>
        <v>100</v>
      </c>
      <c r="AJ181" s="619"/>
      <c r="AK181" s="68" t="s">
        <v>247</v>
      </c>
    </row>
    <row r="182" spans="1:29" ht="12.7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107" t="s">
        <v>336</v>
      </c>
      <c r="U182" s="99"/>
      <c r="V182" s="99"/>
      <c r="W182" s="104" t="s">
        <v>335</v>
      </c>
      <c r="X182" s="68"/>
      <c r="Y182" s="100" t="s">
        <v>213</v>
      </c>
      <c r="Z182" s="426">
        <f>Z181*Z10</f>
        <v>42840000</v>
      </c>
      <c r="AA182" s="426"/>
      <c r="AB182" s="426"/>
      <c r="AC182" s="5"/>
    </row>
    <row r="183" spans="1:30" ht="12.75" customHeight="1">
      <c r="A183" s="2" t="str">
        <f>A120</f>
        <v> NTES</v>
      </c>
      <c r="AB183" s="8" t="str">
        <f>AB120</f>
        <v>Narai Thermal Engineering Services </v>
      </c>
      <c r="AC183" s="2"/>
      <c r="AD183" s="2"/>
    </row>
    <row r="184" spans="1:28" ht="12.75" customHeight="1">
      <c r="A184" s="502" t="s">
        <v>82</v>
      </c>
      <c r="B184" s="502"/>
      <c r="C184" s="502"/>
      <c r="D184" s="502"/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502"/>
      <c r="U184" s="502"/>
      <c r="V184" s="502"/>
      <c r="W184" s="502"/>
      <c r="X184" s="502"/>
      <c r="Y184" s="502"/>
      <c r="Z184" s="502"/>
      <c r="AA184" s="502"/>
      <c r="AB184" s="502"/>
    </row>
    <row r="185" spans="1:28" ht="12.75" customHeight="1">
      <c r="A185" s="390" t="s">
        <v>84</v>
      </c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</row>
    <row r="186" spans="1:28" ht="12.75" customHeight="1">
      <c r="A186" s="372" t="s">
        <v>237</v>
      </c>
      <c r="B186" s="374" t="s">
        <v>238</v>
      </c>
      <c r="C186" s="372"/>
      <c r="D186" s="372"/>
      <c r="E186" s="372"/>
      <c r="F186" s="372"/>
      <c r="G186" s="375"/>
      <c r="H186" s="374" t="s">
        <v>101</v>
      </c>
      <c r="I186" s="372"/>
      <c r="J186" s="372"/>
      <c r="K186" s="375"/>
      <c r="L186" s="391" t="s">
        <v>280</v>
      </c>
      <c r="M186" s="392"/>
      <c r="N186" s="392"/>
      <c r="O186" s="392"/>
      <c r="P186" s="392"/>
      <c r="Q186" s="374" t="s">
        <v>281</v>
      </c>
      <c r="R186" s="372"/>
      <c r="S186" s="372"/>
      <c r="T186" s="375"/>
      <c r="U186" s="391" t="s">
        <v>83</v>
      </c>
      <c r="V186" s="392"/>
      <c r="W186" s="393" t="s">
        <v>283</v>
      </c>
      <c r="X186" s="394"/>
      <c r="Y186" s="395"/>
      <c r="Z186" s="462" t="s">
        <v>284</v>
      </c>
      <c r="AA186" s="394"/>
      <c r="AB186" s="394"/>
    </row>
    <row r="187" spans="1:30" ht="12.75" customHeight="1">
      <c r="A187" s="373"/>
      <c r="B187" s="376"/>
      <c r="C187" s="373"/>
      <c r="D187" s="373"/>
      <c r="E187" s="373"/>
      <c r="F187" s="373"/>
      <c r="G187" s="377"/>
      <c r="H187" s="376"/>
      <c r="I187" s="373"/>
      <c r="J187" s="373"/>
      <c r="K187" s="377"/>
      <c r="L187" s="466" t="s">
        <v>3</v>
      </c>
      <c r="M187" s="467"/>
      <c r="N187" s="56" t="s">
        <v>286</v>
      </c>
      <c r="O187" s="470" t="s">
        <v>287</v>
      </c>
      <c r="P187" s="470"/>
      <c r="Q187" s="721" t="s">
        <v>99</v>
      </c>
      <c r="R187" s="722"/>
      <c r="S187" s="723" t="s">
        <v>100</v>
      </c>
      <c r="T187" s="724"/>
      <c r="U187" s="471" t="s">
        <v>278</v>
      </c>
      <c r="V187" s="472"/>
      <c r="W187" s="396"/>
      <c r="X187" s="397"/>
      <c r="Y187" s="398"/>
      <c r="Z187" s="463"/>
      <c r="AA187" s="397"/>
      <c r="AB187" s="397"/>
      <c r="AD187" s="62" t="s">
        <v>575</v>
      </c>
    </row>
    <row r="188" spans="1:32" ht="12.75" customHeight="1">
      <c r="A188" s="240">
        <v>1</v>
      </c>
      <c r="B188" s="384" t="s">
        <v>89</v>
      </c>
      <c r="C188" s="385"/>
      <c r="D188" s="31" t="s">
        <v>90</v>
      </c>
      <c r="E188" s="31"/>
      <c r="F188" s="31"/>
      <c r="G188" s="53"/>
      <c r="H188" s="52" t="str">
        <f>IF(S188&lt;=0,"***",IF(P21&gt;0,AQ21,AQ66))</f>
        <v>24"</v>
      </c>
      <c r="I188" s="31"/>
      <c r="J188" s="31" t="str">
        <f>IF(S188&lt;=0,"***",AR21)</f>
        <v>150 lb</v>
      </c>
      <c r="K188" s="53"/>
      <c r="L188" s="452"/>
      <c r="M188" s="453"/>
      <c r="N188" s="57"/>
      <c r="O188" s="417"/>
      <c r="P188" s="417"/>
      <c r="Q188" s="457">
        <f>P16</f>
        <v>2</v>
      </c>
      <c r="R188" s="458"/>
      <c r="S188" s="473">
        <f>IF(Q188&lt;=0,0,Q188*AF$189/100)</f>
        <v>2</v>
      </c>
      <c r="T188" s="474"/>
      <c r="U188" s="454"/>
      <c r="V188" s="697"/>
      <c r="W188" s="416">
        <f>IF(S188&lt;=0,0,cost_gasket(H188,J188))</f>
        <v>60000</v>
      </c>
      <c r="X188" s="417"/>
      <c r="Y188" s="418"/>
      <c r="Z188" s="419">
        <f aca="true" t="shared" si="40" ref="Z188:Z202">S188*W188</f>
        <v>120000</v>
      </c>
      <c r="AA188" s="417"/>
      <c r="AB188" s="417"/>
      <c r="AF188" s="152" t="s">
        <v>394</v>
      </c>
    </row>
    <row r="189" spans="1:33" ht="12.75" customHeight="1">
      <c r="A189" s="234">
        <v>2</v>
      </c>
      <c r="B189" s="386"/>
      <c r="C189" s="387"/>
      <c r="D189" s="32" t="s">
        <v>91</v>
      </c>
      <c r="E189" s="32"/>
      <c r="F189" s="32"/>
      <c r="G189" s="59"/>
      <c r="H189" s="58" t="str">
        <f>IF(S189&lt;=0,"***",AQ69)</f>
        <v>***</v>
      </c>
      <c r="I189" s="32"/>
      <c r="J189" s="32" t="str">
        <f>IF(S189&lt;=0,"***",AR69)</f>
        <v>***</v>
      </c>
      <c r="K189" s="59"/>
      <c r="L189" s="399"/>
      <c r="M189" s="400"/>
      <c r="N189" s="60"/>
      <c r="O189" s="379"/>
      <c r="P189" s="379"/>
      <c r="Q189" s="423">
        <f>P70</f>
        <v>0</v>
      </c>
      <c r="R189" s="424"/>
      <c r="S189" s="456">
        <f>IF(Q189&lt;=0,0,Q189*AF$189/100)</f>
        <v>0</v>
      </c>
      <c r="T189" s="422"/>
      <c r="U189" s="444"/>
      <c r="V189" s="468"/>
      <c r="W189" s="378">
        <f>IF(S189&lt;=0,0,cost_gasket(H189,J189))</f>
        <v>0</v>
      </c>
      <c r="X189" s="379"/>
      <c r="Y189" s="380"/>
      <c r="Z189" s="412">
        <f>S193*W189</f>
        <v>0</v>
      </c>
      <c r="AA189" s="379"/>
      <c r="AB189" s="379"/>
      <c r="AF189" s="67">
        <v>100</v>
      </c>
      <c r="AG189" s="1" t="s">
        <v>97</v>
      </c>
    </row>
    <row r="190" spans="1:28" ht="12.75" customHeight="1">
      <c r="A190" s="234">
        <v>3</v>
      </c>
      <c r="B190" s="386"/>
      <c r="C190" s="387"/>
      <c r="D190" s="32" t="s">
        <v>92</v>
      </c>
      <c r="E190" s="32"/>
      <c r="F190" s="32"/>
      <c r="G190" s="59"/>
      <c r="H190" s="58" t="str">
        <f>IF(S190&lt;=0,"***",AQ78)</f>
        <v>***</v>
      </c>
      <c r="I190" s="32"/>
      <c r="J190" s="32" t="str">
        <f>IF(S190&lt;=0,"***",AR78)</f>
        <v>***</v>
      </c>
      <c r="K190" s="59"/>
      <c r="L190" s="399"/>
      <c r="M190" s="400"/>
      <c r="N190" s="60"/>
      <c r="O190" s="379"/>
      <c r="P190" s="379"/>
      <c r="Q190" s="423">
        <f>P79</f>
        <v>0</v>
      </c>
      <c r="R190" s="424"/>
      <c r="S190" s="456">
        <f>IF(Q190&lt;=0,0,Q190*AF$189/100)</f>
        <v>0</v>
      </c>
      <c r="T190" s="422"/>
      <c r="U190" s="444"/>
      <c r="V190" s="468"/>
      <c r="W190" s="378">
        <f>IF(S190&lt;=0,0,cost_gasket(H190,J190))</f>
        <v>0</v>
      </c>
      <c r="X190" s="379"/>
      <c r="Y190" s="380"/>
      <c r="Z190" s="412">
        <f t="shared" si="40"/>
        <v>0</v>
      </c>
      <c r="AA190" s="379"/>
      <c r="AB190" s="379"/>
    </row>
    <row r="191" spans="1:28" ht="12.75" customHeight="1">
      <c r="A191" s="234">
        <v>4</v>
      </c>
      <c r="B191" s="386"/>
      <c r="C191" s="387"/>
      <c r="D191" s="32" t="s">
        <v>93</v>
      </c>
      <c r="E191" s="32"/>
      <c r="F191" s="32"/>
      <c r="G191" s="59"/>
      <c r="H191" s="58" t="str">
        <f>IF(S191&lt;=0,"***",AN41)</f>
        <v>***</v>
      </c>
      <c r="I191" s="32"/>
      <c r="J191" s="32" t="str">
        <f>IF(S191&lt;=0,"***",AG43)</f>
        <v>***</v>
      </c>
      <c r="K191" s="59"/>
      <c r="L191" s="399"/>
      <c r="M191" s="400"/>
      <c r="N191" s="60"/>
      <c r="O191" s="379"/>
      <c r="P191" s="379"/>
      <c r="Q191" s="423">
        <f>P45</f>
        <v>0</v>
      </c>
      <c r="R191" s="424"/>
      <c r="S191" s="456">
        <f>IF(Q191&lt;=0,0,Q191*AF$189/100)</f>
        <v>0</v>
      </c>
      <c r="T191" s="422"/>
      <c r="U191" s="444"/>
      <c r="V191" s="468"/>
      <c r="W191" s="378">
        <f>IF(S191&lt;=0,0,cost_gasket(H191,J191))</f>
        <v>0</v>
      </c>
      <c r="X191" s="379"/>
      <c r="Y191" s="380"/>
      <c r="Z191" s="412">
        <f t="shared" si="40"/>
        <v>0</v>
      </c>
      <c r="AA191" s="379"/>
      <c r="AB191" s="379"/>
    </row>
    <row r="192" spans="1:28" ht="12.75" customHeight="1">
      <c r="A192" s="234">
        <v>5</v>
      </c>
      <c r="B192" s="388"/>
      <c r="C192" s="389"/>
      <c r="D192" s="33" t="s">
        <v>94</v>
      </c>
      <c r="E192" s="33"/>
      <c r="F192" s="33"/>
      <c r="G192" s="134"/>
      <c r="H192" s="133"/>
      <c r="I192" s="33"/>
      <c r="J192" s="33"/>
      <c r="K192" s="134"/>
      <c r="L192" s="446"/>
      <c r="M192" s="447"/>
      <c r="N192" s="135"/>
      <c r="O192" s="406"/>
      <c r="P192" s="406"/>
      <c r="Q192" s="459"/>
      <c r="R192" s="460"/>
      <c r="S192" s="461"/>
      <c r="T192" s="449"/>
      <c r="U192" s="450"/>
      <c r="V192" s="451"/>
      <c r="W192" s="413"/>
      <c r="X192" s="406"/>
      <c r="Y192" s="414"/>
      <c r="Z192" s="415"/>
      <c r="AA192" s="406"/>
      <c r="AB192" s="406"/>
    </row>
    <row r="193" spans="1:37" ht="12.75" customHeight="1">
      <c r="A193" s="234">
        <v>6</v>
      </c>
      <c r="B193" s="384" t="s">
        <v>95</v>
      </c>
      <c r="C193" s="385"/>
      <c r="D193" s="31" t="str">
        <f>D188</f>
        <v>Tubesheet</v>
      </c>
      <c r="E193" s="31"/>
      <c r="F193" s="31"/>
      <c r="G193" s="53"/>
      <c r="H193" s="52" t="str">
        <f>IF(S193&lt;=0,"***",AK17)</f>
        <v>A 266 2</v>
      </c>
      <c r="I193" s="31"/>
      <c r="J193" s="31"/>
      <c r="K193" s="53"/>
      <c r="L193" s="452" t="str">
        <f>IF(S193&lt;=0,"***",AF17)</f>
        <v>3/4"</v>
      </c>
      <c r="M193" s="453"/>
      <c r="N193" s="57">
        <f>IF(S193&lt;=0,"***",AH17)</f>
        <v>19.049999999999997</v>
      </c>
      <c r="O193" s="417">
        <f>IF(S193&lt;=0,"***",AI17)</f>
        <v>113.1</v>
      </c>
      <c r="P193" s="717"/>
      <c r="Q193" s="457">
        <f>P17</f>
        <v>56</v>
      </c>
      <c r="R193" s="458"/>
      <c r="S193" s="438">
        <f>IF(Q193&lt;=0,0,MAX((INT(Q193*AF$194/100)+IF(Q193*AF$194/100&lt;&gt;INT(Q193*AF$194/100),1)),AH$194))</f>
        <v>6</v>
      </c>
      <c r="T193" s="439"/>
      <c r="U193" s="454">
        <f>IF(S193&lt;=0,0,PI()/4*N193^2*O193/10^9*S193*AD193*1000)</f>
        <v>1.518320142127778</v>
      </c>
      <c r="V193" s="455"/>
      <c r="W193" s="416">
        <f>IF(S193&lt;=0,0,cost_plate(H193,N193,"")*AK$194)</f>
        <v>5000</v>
      </c>
      <c r="X193" s="417"/>
      <c r="Y193" s="418"/>
      <c r="Z193" s="419">
        <f>S193*W193</f>
        <v>30000</v>
      </c>
      <c r="AA193" s="417"/>
      <c r="AB193" s="417"/>
      <c r="AD193" s="2">
        <f>mindex(H193,-1)</f>
        <v>7.85</v>
      </c>
      <c r="AF193" s="152" t="s">
        <v>85</v>
      </c>
      <c r="AH193" s="62" t="s">
        <v>87</v>
      </c>
      <c r="AK193" s="213" t="s">
        <v>21</v>
      </c>
    </row>
    <row r="194" spans="1:37" ht="12.75" customHeight="1">
      <c r="A194" s="234">
        <v>7</v>
      </c>
      <c r="B194" s="386"/>
      <c r="C194" s="387"/>
      <c r="D194" s="32" t="str">
        <f>D189</f>
        <v>Channel Cover</v>
      </c>
      <c r="E194" s="32"/>
      <c r="F194" s="32"/>
      <c r="G194" s="59"/>
      <c r="H194" s="58" t="str">
        <f>IF(S194&lt;=0,"***",AK71)</f>
        <v>***</v>
      </c>
      <c r="I194" s="32"/>
      <c r="J194" s="32"/>
      <c r="K194" s="59"/>
      <c r="L194" s="399" t="str">
        <f>IF(S194&lt;=0,"***",AF71)</f>
        <v>***</v>
      </c>
      <c r="M194" s="400"/>
      <c r="N194" s="60" t="str">
        <f>IF(S194&lt;=0,"***",AH71)</f>
        <v>***</v>
      </c>
      <c r="O194" s="379" t="str">
        <f>IF(S194&lt;=0,"***",AI71)</f>
        <v>***</v>
      </c>
      <c r="P194" s="540"/>
      <c r="Q194" s="423">
        <f>P71</f>
        <v>0</v>
      </c>
      <c r="R194" s="424"/>
      <c r="S194" s="421">
        <f>IF(Q194&lt;=0,0,MAX((INT(Q194*AF$194/100)+IF(Q194*AF$194/100&lt;&gt;INT(Q194*AF$194/100),1)),AH$194))</f>
        <v>0</v>
      </c>
      <c r="T194" s="422"/>
      <c r="U194" s="444">
        <f>IF(S194&lt;=0,0,PI()/4*N194^2*O194/10^9*S194*AD194*1000)</f>
        <v>0</v>
      </c>
      <c r="V194" s="445"/>
      <c r="W194" s="378">
        <f>IF(S194&lt;=0,0,cost_plate(H194,N194,"")*AK$194)</f>
        <v>0</v>
      </c>
      <c r="X194" s="379"/>
      <c r="Y194" s="380"/>
      <c r="Z194" s="412">
        <f t="shared" si="40"/>
        <v>0</v>
      </c>
      <c r="AA194" s="379"/>
      <c r="AB194" s="379"/>
      <c r="AD194" s="2">
        <f>mindex(H194,-1)</f>
        <v>0</v>
      </c>
      <c r="AF194" s="67">
        <v>10</v>
      </c>
      <c r="AG194" s="1" t="str">
        <f>AG189</f>
        <v>%</v>
      </c>
      <c r="AH194" s="67">
        <v>2</v>
      </c>
      <c r="AI194" s="1" t="s">
        <v>98</v>
      </c>
      <c r="AK194" s="105">
        <v>5</v>
      </c>
    </row>
    <row r="195" spans="1:30" ht="12.75" customHeight="1">
      <c r="A195" s="234">
        <v>8</v>
      </c>
      <c r="B195" s="386"/>
      <c r="C195" s="387"/>
      <c r="D195" s="32" t="str">
        <f>D190</f>
        <v>Rear ~</v>
      </c>
      <c r="E195" s="32"/>
      <c r="F195" s="32"/>
      <c r="G195" s="59"/>
      <c r="H195" s="58" t="str">
        <f>IF(S195&lt;=0,"***",AK80)</f>
        <v>***</v>
      </c>
      <c r="I195" s="32"/>
      <c r="J195" s="32"/>
      <c r="K195" s="59"/>
      <c r="L195" s="399" t="str">
        <f>IF(S195&lt;=0,"***",AF80)</f>
        <v>***</v>
      </c>
      <c r="M195" s="400"/>
      <c r="N195" s="60" t="str">
        <f>IF(S195&lt;=0,"***",AH80)</f>
        <v>***</v>
      </c>
      <c r="O195" s="379" t="str">
        <f>IF(S195&lt;=0,"***",AI80)</f>
        <v>***</v>
      </c>
      <c r="P195" s="540"/>
      <c r="Q195" s="423">
        <f>P80</f>
        <v>0</v>
      </c>
      <c r="R195" s="424"/>
      <c r="S195" s="421">
        <f>IF(Q195&lt;=0,0,MAX((INT(Q195*AF$194/100)+IF(Q195*AF$194/100&lt;&gt;INT(Q195*AF$194/100),1)),AH$194))</f>
        <v>0</v>
      </c>
      <c r="T195" s="422"/>
      <c r="U195" s="444">
        <f>IF(S195&lt;=0,0,PI()/4*N195^2*O195/10^9*S195*AD195*1000)</f>
        <v>0</v>
      </c>
      <c r="V195" s="445"/>
      <c r="W195" s="378">
        <f>IF(S195&lt;=0,0,cost_plate(H195,N195,"")*AK$194)</f>
        <v>0</v>
      </c>
      <c r="X195" s="379"/>
      <c r="Y195" s="380"/>
      <c r="Z195" s="412">
        <f t="shared" si="40"/>
        <v>0</v>
      </c>
      <c r="AA195" s="379"/>
      <c r="AB195" s="379"/>
      <c r="AD195" s="2">
        <f>mindex(H195,-1)</f>
        <v>0</v>
      </c>
    </row>
    <row r="196" spans="1:30" ht="12.75" customHeight="1">
      <c r="A196" s="234">
        <v>9</v>
      </c>
      <c r="B196" s="386"/>
      <c r="C196" s="387"/>
      <c r="D196" s="32" t="str">
        <f>D191</f>
        <v>Shell Side Manhole</v>
      </c>
      <c r="E196" s="32"/>
      <c r="F196" s="32"/>
      <c r="G196" s="59"/>
      <c r="H196" s="58" t="str">
        <f>IF(S196&lt;=0,"***",AK46)</f>
        <v>***</v>
      </c>
      <c r="I196" s="32"/>
      <c r="J196" s="32"/>
      <c r="K196" s="59"/>
      <c r="L196" s="399" t="str">
        <f>IF(S196&lt;=0,"***",AF46)</f>
        <v>***</v>
      </c>
      <c r="M196" s="400"/>
      <c r="N196" s="60" t="str">
        <f>IF(S196&lt;=0,"***",AH46)</f>
        <v>***</v>
      </c>
      <c r="O196" s="379" t="str">
        <f>IF(S196&lt;=0,"***",AI46)</f>
        <v>***</v>
      </c>
      <c r="P196" s="540"/>
      <c r="Q196" s="423">
        <f>P46</f>
        <v>0</v>
      </c>
      <c r="R196" s="424"/>
      <c r="S196" s="421">
        <f>IF(Q196&lt;=0,0,MAX((INT(Q196*AF$194/100)+IF(Q196*AF$194/100&lt;&gt;INT(Q196*AF$194/100),1)),AH$194))</f>
        <v>0</v>
      </c>
      <c r="T196" s="422"/>
      <c r="U196" s="444">
        <f>IF(S196&lt;=0,0,PI()/4*N196^2*O196/10^9*S196*AD196*1000)</f>
        <v>0</v>
      </c>
      <c r="V196" s="445"/>
      <c r="W196" s="378">
        <f>IF(S196&lt;=0,0,cost_plate(H196,N196,"")*AK$194)</f>
        <v>0</v>
      </c>
      <c r="X196" s="379"/>
      <c r="Y196" s="380"/>
      <c r="Z196" s="412">
        <f t="shared" si="40"/>
        <v>0</v>
      </c>
      <c r="AA196" s="379"/>
      <c r="AB196" s="379"/>
      <c r="AD196" s="2">
        <f>mindex(H196,-1)</f>
        <v>0</v>
      </c>
    </row>
    <row r="197" spans="1:28" ht="12.75" customHeight="1">
      <c r="A197" s="234">
        <v>10</v>
      </c>
      <c r="B197" s="388"/>
      <c r="C197" s="389"/>
      <c r="D197" s="33" t="str">
        <f>D192</f>
        <v>Tube Side Manhole</v>
      </c>
      <c r="E197" s="33"/>
      <c r="F197" s="33"/>
      <c r="G197" s="134"/>
      <c r="H197" s="133"/>
      <c r="I197" s="33"/>
      <c r="J197" s="33"/>
      <c r="K197" s="134"/>
      <c r="L197" s="446"/>
      <c r="M197" s="447"/>
      <c r="N197" s="135"/>
      <c r="O197" s="406"/>
      <c r="P197" s="406"/>
      <c r="Q197" s="557"/>
      <c r="R197" s="718"/>
      <c r="S197" s="448"/>
      <c r="T197" s="449"/>
      <c r="U197" s="450"/>
      <c r="V197" s="451"/>
      <c r="W197" s="413"/>
      <c r="X197" s="406"/>
      <c r="Y197" s="414"/>
      <c r="Z197" s="415">
        <f t="shared" si="40"/>
        <v>0</v>
      </c>
      <c r="AA197" s="406"/>
      <c r="AB197" s="406"/>
    </row>
    <row r="198" spans="1:37" ht="12.75" customHeight="1">
      <c r="A198" s="234">
        <v>11</v>
      </c>
      <c r="B198" s="128" t="s">
        <v>96</v>
      </c>
      <c r="C198" s="127"/>
      <c r="D198" s="127"/>
      <c r="E198" s="127"/>
      <c r="F198" s="127"/>
      <c r="G198" s="130"/>
      <c r="H198" s="128" t="str">
        <f>IF(S198&lt;=0,"***",AK14)</f>
        <v>***</v>
      </c>
      <c r="I198" s="127"/>
      <c r="J198" s="127"/>
      <c r="K198" s="130"/>
      <c r="L198" s="436" t="str">
        <f>IF(S198&lt;=0,"***",K14-2*M14)</f>
        <v>***</v>
      </c>
      <c r="M198" s="437"/>
      <c r="N198" s="131"/>
      <c r="O198" s="409" t="str">
        <f>IF(S198&lt;=0,"***",L198)</f>
        <v>***</v>
      </c>
      <c r="P198" s="409"/>
      <c r="Q198" s="442">
        <f>IF(AF199&lt;=0,0,T123)</f>
        <v>0</v>
      </c>
      <c r="R198" s="443"/>
      <c r="S198" s="438">
        <f>IF(Q198&lt;=0,0,INT(Q198*AF$199/100)+IF(Q198*AF$199/100&lt;&gt;INT(Q198*AF$199/100),1))</f>
        <v>0</v>
      </c>
      <c r="T198" s="439"/>
      <c r="U198" s="440">
        <f>IF(S198&lt;=0,0,PI()/4*L198^2*O198/10^9*S198*AD198*1000)</f>
        <v>0</v>
      </c>
      <c r="V198" s="441"/>
      <c r="W198" s="408">
        <f>IF(S198&lt;=0,0,cost_plate(H198,O198,"")*AK$199)</f>
        <v>0</v>
      </c>
      <c r="X198" s="409"/>
      <c r="Y198" s="410"/>
      <c r="Z198" s="411">
        <f t="shared" si="40"/>
        <v>0</v>
      </c>
      <c r="AA198" s="409"/>
      <c r="AB198" s="409"/>
      <c r="AD198" s="2">
        <f>mindex(H198,-1)</f>
        <v>0</v>
      </c>
      <c r="AF198" s="152" t="s">
        <v>86</v>
      </c>
      <c r="AK198" s="213" t="s">
        <v>21</v>
      </c>
    </row>
    <row r="199" spans="1:37" ht="12.75" customHeight="1">
      <c r="A199" s="234">
        <v>12</v>
      </c>
      <c r="B199" s="58" t="s">
        <v>104</v>
      </c>
      <c r="C199" s="32"/>
      <c r="D199" s="32"/>
      <c r="E199" s="32"/>
      <c r="F199" s="32"/>
      <c r="G199" s="59"/>
      <c r="H199" s="58" t="str">
        <f>" "&amp;$AH$13&amp;AM199</f>
        <v> </v>
      </c>
      <c r="I199" s="32"/>
      <c r="J199" s="32"/>
      <c r="K199" s="59"/>
      <c r="L199" s="399"/>
      <c r="M199" s="400"/>
      <c r="N199" s="60"/>
      <c r="O199" s="379"/>
      <c r="P199" s="379"/>
      <c r="Q199" s="423"/>
      <c r="R199" s="424"/>
      <c r="S199" s="421"/>
      <c r="T199" s="422"/>
      <c r="U199" s="444"/>
      <c r="V199" s="468"/>
      <c r="W199" s="378"/>
      <c r="X199" s="379"/>
      <c r="Y199" s="380"/>
      <c r="Z199" s="412">
        <f t="shared" si="40"/>
        <v>0</v>
      </c>
      <c r="AA199" s="379"/>
      <c r="AB199" s="379"/>
      <c r="AF199" s="67">
        <v>0</v>
      </c>
      <c r="AG199" s="1" t="str">
        <f>AG194</f>
        <v>%</v>
      </c>
      <c r="AK199" s="105">
        <v>3</v>
      </c>
    </row>
    <row r="200" spans="1:28" ht="12.75" customHeight="1">
      <c r="A200" s="234">
        <v>13</v>
      </c>
      <c r="B200" s="58"/>
      <c r="C200" s="32"/>
      <c r="D200" s="32"/>
      <c r="E200" s="32"/>
      <c r="F200" s="32"/>
      <c r="G200" s="59"/>
      <c r="H200" s="58" t="str">
        <f>" "&amp;$AH$13&amp;AM200</f>
        <v> </v>
      </c>
      <c r="I200" s="32"/>
      <c r="J200" s="32"/>
      <c r="K200" s="59"/>
      <c r="L200" s="399"/>
      <c r="M200" s="400"/>
      <c r="N200" s="60"/>
      <c r="O200" s="379"/>
      <c r="P200" s="379"/>
      <c r="Q200" s="423"/>
      <c r="R200" s="424"/>
      <c r="S200" s="421"/>
      <c r="T200" s="422"/>
      <c r="U200" s="444"/>
      <c r="V200" s="468"/>
      <c r="W200" s="378"/>
      <c r="X200" s="379"/>
      <c r="Y200" s="380"/>
      <c r="Z200" s="412">
        <f t="shared" si="40"/>
        <v>0</v>
      </c>
      <c r="AA200" s="379"/>
      <c r="AB200" s="379"/>
    </row>
    <row r="201" spans="1:28" ht="12.75" customHeight="1">
      <c r="A201" s="234">
        <v>14</v>
      </c>
      <c r="B201" s="58"/>
      <c r="C201" s="32"/>
      <c r="D201" s="32"/>
      <c r="E201" s="32"/>
      <c r="F201" s="32"/>
      <c r="G201" s="59"/>
      <c r="H201" s="58" t="str">
        <f>" "&amp;$AH$13&amp;AM201</f>
        <v> </v>
      </c>
      <c r="I201" s="32"/>
      <c r="J201" s="32"/>
      <c r="K201" s="59"/>
      <c r="L201" s="399"/>
      <c r="M201" s="400"/>
      <c r="N201" s="60"/>
      <c r="O201" s="379"/>
      <c r="P201" s="379"/>
      <c r="Q201" s="423"/>
      <c r="R201" s="424"/>
      <c r="S201" s="421"/>
      <c r="T201" s="422"/>
      <c r="U201" s="444"/>
      <c r="V201" s="468"/>
      <c r="W201" s="378"/>
      <c r="X201" s="379"/>
      <c r="Y201" s="380"/>
      <c r="Z201" s="412">
        <f t="shared" si="40"/>
        <v>0</v>
      </c>
      <c r="AA201" s="379"/>
      <c r="AB201" s="379"/>
    </row>
    <row r="202" spans="1:28" ht="11.25">
      <c r="A202" s="242">
        <v>15</v>
      </c>
      <c r="B202" s="133"/>
      <c r="C202" s="33"/>
      <c r="D202" s="33"/>
      <c r="E202" s="33"/>
      <c r="F202" s="33"/>
      <c r="G202" s="134"/>
      <c r="H202" s="121" t="str">
        <f>" "&amp;$AH$13&amp;AM202</f>
        <v> </v>
      </c>
      <c r="I202" s="54"/>
      <c r="J202" s="54"/>
      <c r="K202" s="123"/>
      <c r="L202" s="431"/>
      <c r="M202" s="432"/>
      <c r="N202" s="124"/>
      <c r="O202" s="407"/>
      <c r="P202" s="407"/>
      <c r="Q202" s="557"/>
      <c r="R202" s="718"/>
      <c r="S202" s="433"/>
      <c r="T202" s="434"/>
      <c r="U202" s="719"/>
      <c r="V202" s="720"/>
      <c r="W202" s="428"/>
      <c r="X202" s="407"/>
      <c r="Y202" s="429"/>
      <c r="Z202" s="430">
        <f t="shared" si="40"/>
        <v>0</v>
      </c>
      <c r="AA202" s="407"/>
      <c r="AB202" s="407"/>
    </row>
    <row r="203" spans="1:28" ht="11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104" t="s">
        <v>258</v>
      </c>
      <c r="U203" s="469">
        <f>SUM(U188:V202)</f>
        <v>1.518320142127778</v>
      </c>
      <c r="V203" s="390"/>
      <c r="W203" s="99"/>
      <c r="X203" s="99"/>
      <c r="Y203" s="99"/>
      <c r="Z203" s="426">
        <f>ROUND(SUM(Z188:AB202),-4)</f>
        <v>150000</v>
      </c>
      <c r="AA203" s="426"/>
      <c r="AB203" s="426"/>
    </row>
    <row r="204" spans="1:28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06" t="s">
        <v>334</v>
      </c>
      <c r="U204" s="5"/>
      <c r="W204" s="105">
        <v>50</v>
      </c>
      <c r="X204" s="5" t="s">
        <v>247</v>
      </c>
      <c r="Y204" s="103" t="s">
        <v>213</v>
      </c>
      <c r="Z204" s="427">
        <f>ROUND(Z203*W204/100,-4)</f>
        <v>80000</v>
      </c>
      <c r="AA204" s="427"/>
      <c r="AB204" s="427"/>
    </row>
    <row r="205" spans="20:28" ht="11.25">
      <c r="T205" s="107" t="s">
        <v>336</v>
      </c>
      <c r="U205" s="99"/>
      <c r="V205" s="99"/>
      <c r="W205" s="108" t="s">
        <v>337</v>
      </c>
      <c r="X205" s="68"/>
      <c r="Y205" s="102" t="s">
        <v>213</v>
      </c>
      <c r="Z205" s="425">
        <f>ROUND(SUM(Z203:AB204),-4)</f>
        <v>230000</v>
      </c>
      <c r="AA205" s="425"/>
      <c r="AB205" s="425"/>
    </row>
    <row r="206" spans="20:28" ht="11.25">
      <c r="T206" s="107" t="s">
        <v>336</v>
      </c>
      <c r="U206" s="99"/>
      <c r="V206" s="99"/>
      <c r="W206" s="104" t="s">
        <v>335</v>
      </c>
      <c r="X206" s="68"/>
      <c r="Y206" s="100" t="s">
        <v>213</v>
      </c>
      <c r="Z206" s="426">
        <f>Z205*Z10</f>
        <v>230000</v>
      </c>
      <c r="AA206" s="426"/>
      <c r="AB206" s="426"/>
    </row>
    <row r="207" spans="1:28" ht="12.75" customHeight="1">
      <c r="A207" s="390" t="s">
        <v>88</v>
      </c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  <c r="AA207" s="390"/>
      <c r="AB207" s="390"/>
    </row>
    <row r="208" spans="1:28" ht="12.75" customHeight="1">
      <c r="A208" s="372" t="s">
        <v>237</v>
      </c>
      <c r="B208" s="372" t="s">
        <v>238</v>
      </c>
      <c r="C208" s="372"/>
      <c r="D208" s="372"/>
      <c r="E208" s="372"/>
      <c r="F208" s="372"/>
      <c r="G208" s="375"/>
      <c r="H208" s="374" t="s">
        <v>279</v>
      </c>
      <c r="I208" s="372"/>
      <c r="J208" s="372"/>
      <c r="K208" s="375"/>
      <c r="L208" s="391" t="s">
        <v>280</v>
      </c>
      <c r="M208" s="392"/>
      <c r="N208" s="392"/>
      <c r="O208" s="392"/>
      <c r="P208" s="392"/>
      <c r="Q208" s="374" t="s">
        <v>281</v>
      </c>
      <c r="R208" s="372"/>
      <c r="S208" s="372"/>
      <c r="T208" s="375"/>
      <c r="U208" s="391" t="s">
        <v>83</v>
      </c>
      <c r="V208" s="392"/>
      <c r="W208" s="393" t="s">
        <v>283</v>
      </c>
      <c r="X208" s="394"/>
      <c r="Y208" s="395"/>
      <c r="Z208" s="462" t="s">
        <v>284</v>
      </c>
      <c r="AA208" s="394"/>
      <c r="AB208" s="394"/>
    </row>
    <row r="209" spans="1:28" ht="12.75" customHeight="1">
      <c r="A209" s="373"/>
      <c r="B209" s="373"/>
      <c r="C209" s="373"/>
      <c r="D209" s="373"/>
      <c r="E209" s="373"/>
      <c r="F209" s="373"/>
      <c r="G209" s="377"/>
      <c r="H209" s="376"/>
      <c r="I209" s="373"/>
      <c r="J209" s="373"/>
      <c r="K209" s="377"/>
      <c r="L209" s="466" t="s">
        <v>3</v>
      </c>
      <c r="M209" s="467"/>
      <c r="N209" s="56" t="s">
        <v>286</v>
      </c>
      <c r="O209" s="470" t="s">
        <v>287</v>
      </c>
      <c r="P209" s="470"/>
      <c r="Q209" s="721" t="s">
        <v>99</v>
      </c>
      <c r="R209" s="722"/>
      <c r="S209" s="723" t="s">
        <v>100</v>
      </c>
      <c r="T209" s="724"/>
      <c r="U209" s="471" t="s">
        <v>278</v>
      </c>
      <c r="V209" s="472"/>
      <c r="W209" s="396"/>
      <c r="X209" s="397"/>
      <c r="Y209" s="398"/>
      <c r="Z209" s="463"/>
      <c r="AA209" s="397"/>
      <c r="AB209" s="397"/>
    </row>
    <row r="210" spans="1:32" ht="12.75" customHeight="1">
      <c r="A210" s="240">
        <v>1</v>
      </c>
      <c r="B210" s="384" t="str">
        <f>B188</f>
        <v> Gasket</v>
      </c>
      <c r="C210" s="385"/>
      <c r="D210" s="31" t="str">
        <f>D188</f>
        <v>Tubesheet</v>
      </c>
      <c r="E210" s="31"/>
      <c r="F210" s="31"/>
      <c r="G210" s="53"/>
      <c r="H210" s="52" t="str">
        <f>H188</f>
        <v>24"</v>
      </c>
      <c r="I210" s="31"/>
      <c r="J210" s="31" t="str">
        <f>J188</f>
        <v>150 lb</v>
      </c>
      <c r="K210" s="53"/>
      <c r="L210" s="452"/>
      <c r="M210" s="453"/>
      <c r="N210" s="57"/>
      <c r="O210" s="417"/>
      <c r="P210" s="417"/>
      <c r="Q210" s="457">
        <f>Q188</f>
        <v>2</v>
      </c>
      <c r="R210" s="458"/>
      <c r="S210" s="473">
        <f>IF(Q210&lt;=0,0,Q210*AF$211/100)</f>
        <v>4</v>
      </c>
      <c r="T210" s="474"/>
      <c r="U210" s="475"/>
      <c r="V210" s="419"/>
      <c r="W210" s="416">
        <f>IF(S210&lt;=0,0,cost_gasket(H210,J210))</f>
        <v>60000</v>
      </c>
      <c r="X210" s="417"/>
      <c r="Y210" s="418"/>
      <c r="Z210" s="419">
        <f aca="true" t="shared" si="41" ref="Z210:Z224">S210*W210</f>
        <v>240000</v>
      </c>
      <c r="AA210" s="417"/>
      <c r="AB210" s="417"/>
      <c r="AF210" s="152" t="str">
        <f>AF188</f>
        <v>Gasket</v>
      </c>
    </row>
    <row r="211" spans="1:33" ht="12.75" customHeight="1">
      <c r="A211" s="234">
        <v>2</v>
      </c>
      <c r="B211" s="386"/>
      <c r="C211" s="387"/>
      <c r="D211" s="32" t="str">
        <f>D189</f>
        <v>Channel Cover</v>
      </c>
      <c r="E211" s="32"/>
      <c r="F211" s="32"/>
      <c r="G211" s="59"/>
      <c r="H211" s="58" t="str">
        <f>H189</f>
        <v>***</v>
      </c>
      <c r="I211" s="32"/>
      <c r="J211" s="32" t="str">
        <f>J189</f>
        <v>***</v>
      </c>
      <c r="K211" s="59"/>
      <c r="L211" s="399"/>
      <c r="M211" s="400"/>
      <c r="N211" s="60"/>
      <c r="O211" s="379"/>
      <c r="P211" s="379"/>
      <c r="Q211" s="423">
        <f>Q189</f>
        <v>0</v>
      </c>
      <c r="R211" s="424"/>
      <c r="S211" s="456">
        <f>IF(Q211&lt;=0,0,Q211*AF$211/100)</f>
        <v>0</v>
      </c>
      <c r="T211" s="422"/>
      <c r="U211" s="420"/>
      <c r="V211" s="412"/>
      <c r="W211" s="378">
        <f>IF(S211&lt;=0,0,cost_gasket(H211,J211))</f>
        <v>0</v>
      </c>
      <c r="X211" s="379"/>
      <c r="Y211" s="380"/>
      <c r="Z211" s="412">
        <f t="shared" si="41"/>
        <v>0</v>
      </c>
      <c r="AA211" s="379"/>
      <c r="AB211" s="379"/>
      <c r="AF211" s="194">
        <f>AF189*2</f>
        <v>200</v>
      </c>
      <c r="AG211" s="1" t="str">
        <f>AG189</f>
        <v>%</v>
      </c>
    </row>
    <row r="212" spans="1:28" ht="12.75" customHeight="1">
      <c r="A212" s="234">
        <v>3</v>
      </c>
      <c r="B212" s="386"/>
      <c r="C212" s="387"/>
      <c r="D212" s="32" t="str">
        <f>D190</f>
        <v>Rear ~</v>
      </c>
      <c r="E212" s="32"/>
      <c r="F212" s="32"/>
      <c r="G212" s="59"/>
      <c r="H212" s="58" t="str">
        <f>H190</f>
        <v>***</v>
      </c>
      <c r="I212" s="32"/>
      <c r="J212" s="32" t="str">
        <f>J190</f>
        <v>***</v>
      </c>
      <c r="K212" s="59"/>
      <c r="L212" s="399"/>
      <c r="M212" s="400"/>
      <c r="N212" s="60"/>
      <c r="O212" s="379"/>
      <c r="P212" s="379"/>
      <c r="Q212" s="423">
        <f>Q190</f>
        <v>0</v>
      </c>
      <c r="R212" s="424"/>
      <c r="S212" s="456">
        <f>IF(Q212&lt;=0,0,Q212*AF$211/100)</f>
        <v>0</v>
      </c>
      <c r="T212" s="422"/>
      <c r="U212" s="420"/>
      <c r="V212" s="412"/>
      <c r="W212" s="378">
        <f>IF(S212&lt;=0,0,cost_gasket(H212,J212))</f>
        <v>0</v>
      </c>
      <c r="X212" s="379"/>
      <c r="Y212" s="380"/>
      <c r="Z212" s="412">
        <f t="shared" si="41"/>
        <v>0</v>
      </c>
      <c r="AA212" s="379"/>
      <c r="AB212" s="379"/>
    </row>
    <row r="213" spans="1:28" ht="12.75" customHeight="1">
      <c r="A213" s="234">
        <v>4</v>
      </c>
      <c r="B213" s="386"/>
      <c r="C213" s="387"/>
      <c r="D213" s="32" t="str">
        <f>D191</f>
        <v>Shell Side Manhole</v>
      </c>
      <c r="E213" s="32"/>
      <c r="F213" s="32"/>
      <c r="G213" s="59"/>
      <c r="H213" s="58" t="str">
        <f>H191</f>
        <v>***</v>
      </c>
      <c r="I213" s="32"/>
      <c r="J213" s="32" t="str">
        <f>J191</f>
        <v>***</v>
      </c>
      <c r="K213" s="59"/>
      <c r="L213" s="399"/>
      <c r="M213" s="400"/>
      <c r="N213" s="60"/>
      <c r="O213" s="379"/>
      <c r="P213" s="379"/>
      <c r="Q213" s="423">
        <f>Q191</f>
        <v>0</v>
      </c>
      <c r="R213" s="424"/>
      <c r="S213" s="456">
        <f>IF(Q213&lt;=0,0,Q213*AF$211/100)</f>
        <v>0</v>
      </c>
      <c r="T213" s="422"/>
      <c r="U213" s="420"/>
      <c r="V213" s="412"/>
      <c r="W213" s="378">
        <f>IF(S213&lt;=0,0,cost_gasket(H213,J213))</f>
        <v>0</v>
      </c>
      <c r="X213" s="379"/>
      <c r="Y213" s="380"/>
      <c r="Z213" s="412">
        <f t="shared" si="41"/>
        <v>0</v>
      </c>
      <c r="AA213" s="379"/>
      <c r="AB213" s="379"/>
    </row>
    <row r="214" spans="1:28" ht="12.75" customHeight="1">
      <c r="A214" s="234">
        <v>5</v>
      </c>
      <c r="B214" s="464"/>
      <c r="C214" s="465"/>
      <c r="D214" s="54" t="str">
        <f>D192</f>
        <v>Tube Side Manhole</v>
      </c>
      <c r="E214" s="54"/>
      <c r="F214" s="54"/>
      <c r="G214" s="123"/>
      <c r="H214" s="121" t="str">
        <f>" "&amp;$AH$13&amp;AM214</f>
        <v> </v>
      </c>
      <c r="I214" s="54"/>
      <c r="J214" s="54"/>
      <c r="K214" s="123"/>
      <c r="L214" s="431"/>
      <c r="M214" s="432"/>
      <c r="N214" s="124"/>
      <c r="O214" s="407"/>
      <c r="P214" s="407"/>
      <c r="Q214" s="459"/>
      <c r="R214" s="460"/>
      <c r="S214" s="461"/>
      <c r="T214" s="449"/>
      <c r="U214" s="435"/>
      <c r="V214" s="430"/>
      <c r="W214" s="413"/>
      <c r="X214" s="406"/>
      <c r="Y214" s="414"/>
      <c r="Z214" s="430">
        <f t="shared" si="41"/>
        <v>0</v>
      </c>
      <c r="AA214" s="407"/>
      <c r="AB214" s="407"/>
    </row>
    <row r="215" spans="1:37" ht="12.75" customHeight="1">
      <c r="A215" s="234">
        <v>6</v>
      </c>
      <c r="B215" s="384" t="str">
        <f>B193</f>
        <v> B &amp; N</v>
      </c>
      <c r="C215" s="385"/>
      <c r="D215" s="31" t="str">
        <f>D210</f>
        <v>Tubesheet</v>
      </c>
      <c r="E215" s="31"/>
      <c r="F215" s="31"/>
      <c r="G215" s="53"/>
      <c r="H215" s="52" t="str">
        <f>H193</f>
        <v>A 266 2</v>
      </c>
      <c r="I215" s="31"/>
      <c r="J215" s="31"/>
      <c r="K215" s="53"/>
      <c r="L215" s="452" t="str">
        <f>L193</f>
        <v>3/4"</v>
      </c>
      <c r="M215" s="453"/>
      <c r="N215" s="57">
        <f aca="true" t="shared" si="42" ref="N215:O218">N193</f>
        <v>19.049999999999997</v>
      </c>
      <c r="O215" s="417">
        <f t="shared" si="42"/>
        <v>113.1</v>
      </c>
      <c r="P215" s="417"/>
      <c r="Q215" s="457">
        <f>Q193</f>
        <v>56</v>
      </c>
      <c r="R215" s="458"/>
      <c r="S215" s="438">
        <f>IF(Q215&lt;=0,0,MAX((INT(Q215*AF$216/100)+IF(Q215*AF$216/100&lt;&gt;INT(Q215*AF$216/100),1)),AH$216))</f>
        <v>12</v>
      </c>
      <c r="T215" s="439"/>
      <c r="U215" s="454">
        <f>IF(S215&lt;=0,0,PI()/4*N215^2*O215/10^9*S215*AD215*1000)</f>
        <v>3.036640284255556</v>
      </c>
      <c r="V215" s="455"/>
      <c r="W215" s="416">
        <f>IF(S215&lt;=0,0,cost_plate(H215,N215,"")*AK$216)</f>
        <v>5000</v>
      </c>
      <c r="X215" s="417"/>
      <c r="Y215" s="418"/>
      <c r="Z215" s="419">
        <f t="shared" si="41"/>
        <v>60000</v>
      </c>
      <c r="AA215" s="417"/>
      <c r="AB215" s="417"/>
      <c r="AD215" s="2">
        <f>mindex(H215,-1)</f>
        <v>7.85</v>
      </c>
      <c r="AF215" s="152" t="str">
        <f>AF193</f>
        <v>B &amp; N</v>
      </c>
      <c r="AH215" s="62" t="str">
        <f>AH193</f>
        <v>min.</v>
      </c>
      <c r="AK215" s="213" t="s">
        <v>21</v>
      </c>
    </row>
    <row r="216" spans="1:37" ht="12.75" customHeight="1">
      <c r="A216" s="234">
        <v>7</v>
      </c>
      <c r="B216" s="386"/>
      <c r="C216" s="387"/>
      <c r="D216" s="32" t="str">
        <f>D211</f>
        <v>Channel Cover</v>
      </c>
      <c r="E216" s="32"/>
      <c r="F216" s="32"/>
      <c r="G216" s="59"/>
      <c r="H216" s="58" t="str">
        <f>H194</f>
        <v>***</v>
      </c>
      <c r="I216" s="32"/>
      <c r="J216" s="32"/>
      <c r="K216" s="59"/>
      <c r="L216" s="399" t="str">
        <f>L194</f>
        <v>***</v>
      </c>
      <c r="M216" s="400"/>
      <c r="N216" s="60" t="str">
        <f t="shared" si="42"/>
        <v>***</v>
      </c>
      <c r="O216" s="379" t="str">
        <f t="shared" si="42"/>
        <v>***</v>
      </c>
      <c r="P216" s="379"/>
      <c r="Q216" s="423">
        <f>Q194</f>
        <v>0</v>
      </c>
      <c r="R216" s="424"/>
      <c r="S216" s="421">
        <f>IF(Q216&lt;=0,0,MAX((INT(Q216*AF$216/100)+IF(Q216*AF$216/100&lt;&gt;INT(Q216*AF$216/100),1)),AH$216))</f>
        <v>0</v>
      </c>
      <c r="T216" s="422"/>
      <c r="U216" s="444">
        <f>IF(S216&lt;=0,0,PI()/4*N216^2*O216/10^9*S216*AD216*1000)</f>
        <v>0</v>
      </c>
      <c r="V216" s="445"/>
      <c r="W216" s="378">
        <f>IF(S216&lt;=0,0,cost_plate(H216,N216,"")*AK$216)</f>
        <v>0</v>
      </c>
      <c r="X216" s="379"/>
      <c r="Y216" s="380"/>
      <c r="Z216" s="412">
        <f t="shared" si="41"/>
        <v>0</v>
      </c>
      <c r="AA216" s="379"/>
      <c r="AB216" s="379"/>
      <c r="AD216" s="2">
        <f>mindex(H216,-1)</f>
        <v>0</v>
      </c>
      <c r="AF216" s="194">
        <f>AF194*2</f>
        <v>20</v>
      </c>
      <c r="AG216" s="1" t="str">
        <f>AG211</f>
        <v>%</v>
      </c>
      <c r="AH216" s="194">
        <f>AH194*2</f>
        <v>4</v>
      </c>
      <c r="AI216" s="1" t="str">
        <f>AI194</f>
        <v>sets</v>
      </c>
      <c r="AK216" s="220">
        <f>AK194</f>
        <v>5</v>
      </c>
    </row>
    <row r="217" spans="1:30" ht="12.75" customHeight="1">
      <c r="A217" s="234">
        <v>8</v>
      </c>
      <c r="B217" s="386"/>
      <c r="C217" s="387"/>
      <c r="D217" s="32" t="str">
        <f>D212</f>
        <v>Rear ~</v>
      </c>
      <c r="E217" s="32"/>
      <c r="F217" s="32"/>
      <c r="G217" s="59"/>
      <c r="H217" s="58" t="str">
        <f>H195</f>
        <v>***</v>
      </c>
      <c r="I217" s="32"/>
      <c r="J217" s="32"/>
      <c r="K217" s="59"/>
      <c r="L217" s="399" t="str">
        <f>L195</f>
        <v>***</v>
      </c>
      <c r="M217" s="400"/>
      <c r="N217" s="60" t="str">
        <f t="shared" si="42"/>
        <v>***</v>
      </c>
      <c r="O217" s="379" t="str">
        <f t="shared" si="42"/>
        <v>***</v>
      </c>
      <c r="P217" s="379"/>
      <c r="Q217" s="423">
        <f>Q195</f>
        <v>0</v>
      </c>
      <c r="R217" s="424"/>
      <c r="S217" s="421">
        <f>IF(Q217&lt;=0,0,MAX((INT(Q217*AF$216/100)+IF(Q217*AF$216/100&lt;&gt;INT(Q217*AF$216/100),1)),AH$216))</f>
        <v>0</v>
      </c>
      <c r="T217" s="422"/>
      <c r="U217" s="444">
        <f>IF(S217&lt;=0,0,PI()/4*N217^2*O217/10^9*S217*AD217*1000)</f>
        <v>0</v>
      </c>
      <c r="V217" s="445"/>
      <c r="W217" s="378">
        <f>IF(S217&lt;=0,0,cost_plate(H217,N217,"")*AK$216)</f>
        <v>0</v>
      </c>
      <c r="X217" s="379"/>
      <c r="Y217" s="380"/>
      <c r="Z217" s="412">
        <f t="shared" si="41"/>
        <v>0</v>
      </c>
      <c r="AA217" s="379"/>
      <c r="AB217" s="379"/>
      <c r="AD217" s="2">
        <f>mindex(H217,-1)</f>
        <v>0</v>
      </c>
    </row>
    <row r="218" spans="1:30" ht="12.75" customHeight="1">
      <c r="A218" s="234">
        <v>9</v>
      </c>
      <c r="B218" s="386"/>
      <c r="C218" s="387"/>
      <c r="D218" s="32" t="str">
        <f>D213</f>
        <v>Shell Side Manhole</v>
      </c>
      <c r="E218" s="32"/>
      <c r="F218" s="32"/>
      <c r="G218" s="59"/>
      <c r="H218" s="58" t="str">
        <f>H196</f>
        <v>***</v>
      </c>
      <c r="I218" s="32"/>
      <c r="J218" s="32"/>
      <c r="K218" s="59"/>
      <c r="L218" s="399" t="str">
        <f>L196</f>
        <v>***</v>
      </c>
      <c r="M218" s="400"/>
      <c r="N218" s="60" t="str">
        <f t="shared" si="42"/>
        <v>***</v>
      </c>
      <c r="O218" s="379" t="str">
        <f t="shared" si="42"/>
        <v>***</v>
      </c>
      <c r="P218" s="379"/>
      <c r="Q218" s="423">
        <f>Q196</f>
        <v>0</v>
      </c>
      <c r="R218" s="424"/>
      <c r="S218" s="421">
        <f>IF(Q218&lt;=0,0,MAX((INT(Q218*AF$216/100)+IF(Q218*AF$216/100&lt;&gt;INT(Q218*AF$216/100),1)),AH$216))</f>
        <v>0</v>
      </c>
      <c r="T218" s="422"/>
      <c r="U218" s="444">
        <f>IF(S218&lt;=0,0,PI()/4*N218^2*O218/10^9*S218*AD218*1000)</f>
        <v>0</v>
      </c>
      <c r="V218" s="445"/>
      <c r="W218" s="378">
        <f>IF(S218&lt;=0,0,cost_plate(H218,N218,"")*AK$216)</f>
        <v>0</v>
      </c>
      <c r="X218" s="379"/>
      <c r="Y218" s="380"/>
      <c r="Z218" s="412">
        <f t="shared" si="41"/>
        <v>0</v>
      </c>
      <c r="AA218" s="379"/>
      <c r="AB218" s="379"/>
      <c r="AD218" s="2">
        <f>mindex(H218,-1)</f>
        <v>0</v>
      </c>
    </row>
    <row r="219" spans="1:28" ht="12.75" customHeight="1">
      <c r="A219" s="234">
        <v>10</v>
      </c>
      <c r="B219" s="388"/>
      <c r="C219" s="389"/>
      <c r="D219" s="33" t="str">
        <f>D214</f>
        <v>Tube Side Manhole</v>
      </c>
      <c r="E219" s="33"/>
      <c r="F219" s="33"/>
      <c r="G219" s="134"/>
      <c r="H219" s="133"/>
      <c r="I219" s="33"/>
      <c r="J219" s="33"/>
      <c r="K219" s="134"/>
      <c r="L219" s="446"/>
      <c r="M219" s="447"/>
      <c r="N219" s="135"/>
      <c r="O219" s="406"/>
      <c r="P219" s="406"/>
      <c r="Q219" s="557"/>
      <c r="R219" s="718"/>
      <c r="S219" s="448"/>
      <c r="T219" s="449"/>
      <c r="U219" s="450"/>
      <c r="V219" s="451"/>
      <c r="W219" s="413"/>
      <c r="X219" s="406"/>
      <c r="Y219" s="414"/>
      <c r="Z219" s="415">
        <f t="shared" si="41"/>
        <v>0</v>
      </c>
      <c r="AA219" s="406"/>
      <c r="AB219" s="406"/>
    </row>
    <row r="220" spans="1:37" ht="12.75" customHeight="1">
      <c r="A220" s="234">
        <v>11</v>
      </c>
      <c r="B220" s="128" t="str">
        <f>B198</f>
        <v> Tube Plug</v>
      </c>
      <c r="C220" s="127"/>
      <c r="D220" s="127"/>
      <c r="E220" s="127"/>
      <c r="F220" s="127"/>
      <c r="G220" s="130"/>
      <c r="H220" s="128" t="str">
        <f>H198</f>
        <v>***</v>
      </c>
      <c r="I220" s="127"/>
      <c r="J220" s="127"/>
      <c r="K220" s="130"/>
      <c r="L220" s="436" t="str">
        <f>L198</f>
        <v>***</v>
      </c>
      <c r="M220" s="437"/>
      <c r="N220" s="131"/>
      <c r="O220" s="409" t="str">
        <f>O198</f>
        <v>***</v>
      </c>
      <c r="P220" s="409"/>
      <c r="Q220" s="442">
        <f>Q198</f>
        <v>0</v>
      </c>
      <c r="R220" s="443"/>
      <c r="S220" s="438">
        <f>IF(Q220&lt;=0,0,INT(Q220*AF$221/100)+IF(Q220*AF$221/100&lt;&gt;INT(Q220*AF$221/100),1))</f>
        <v>0</v>
      </c>
      <c r="T220" s="439"/>
      <c r="U220" s="440">
        <f>IF(S220&lt;=0,0,PI()/4*L220^2*O220/10^9*S220*AD220*1000)</f>
        <v>0</v>
      </c>
      <c r="V220" s="441"/>
      <c r="W220" s="408">
        <f>IF(S220&lt;=0,0,cost_plate(H220,O220,"")*AK$221)</f>
        <v>0</v>
      </c>
      <c r="X220" s="409"/>
      <c r="Y220" s="410"/>
      <c r="Z220" s="411">
        <f t="shared" si="41"/>
        <v>0</v>
      </c>
      <c r="AA220" s="409"/>
      <c r="AB220" s="409"/>
      <c r="AD220" s="2">
        <f>mindex(H220,-1)</f>
        <v>0</v>
      </c>
      <c r="AF220" s="152" t="str">
        <f>AF198</f>
        <v>Tube Plug</v>
      </c>
      <c r="AK220" s="213" t="s">
        <v>21</v>
      </c>
    </row>
    <row r="221" spans="1:37" ht="12.75" customHeight="1">
      <c r="A221" s="234">
        <v>12</v>
      </c>
      <c r="B221" s="58"/>
      <c r="C221" s="32"/>
      <c r="D221" s="32"/>
      <c r="E221" s="32"/>
      <c r="F221" s="32"/>
      <c r="G221" s="59"/>
      <c r="H221" s="58"/>
      <c r="I221" s="32"/>
      <c r="J221" s="32"/>
      <c r="K221" s="59"/>
      <c r="L221" s="399"/>
      <c r="M221" s="400"/>
      <c r="N221" s="60"/>
      <c r="O221" s="379"/>
      <c r="P221" s="379"/>
      <c r="Q221" s="423"/>
      <c r="R221" s="424"/>
      <c r="S221" s="421"/>
      <c r="T221" s="422"/>
      <c r="U221" s="420"/>
      <c r="V221" s="412"/>
      <c r="W221" s="378"/>
      <c r="X221" s="379"/>
      <c r="Y221" s="380"/>
      <c r="Z221" s="412">
        <f t="shared" si="41"/>
        <v>0</v>
      </c>
      <c r="AA221" s="379"/>
      <c r="AB221" s="379"/>
      <c r="AF221" s="194">
        <f>AF199*2</f>
        <v>0</v>
      </c>
      <c r="AG221" s="1" t="str">
        <f>AG216</f>
        <v>%</v>
      </c>
      <c r="AK221" s="220">
        <f>AK199</f>
        <v>3</v>
      </c>
    </row>
    <row r="222" spans="1:28" ht="12.75" customHeight="1">
      <c r="A222" s="234">
        <v>13</v>
      </c>
      <c r="B222" s="58"/>
      <c r="C222" s="32"/>
      <c r="D222" s="32"/>
      <c r="E222" s="32"/>
      <c r="F222" s="32"/>
      <c r="G222" s="59"/>
      <c r="H222" s="58"/>
      <c r="I222" s="32"/>
      <c r="J222" s="32"/>
      <c r="K222" s="59"/>
      <c r="L222" s="399"/>
      <c r="M222" s="400"/>
      <c r="N222" s="60"/>
      <c r="O222" s="379"/>
      <c r="P222" s="379"/>
      <c r="Q222" s="423"/>
      <c r="R222" s="424"/>
      <c r="S222" s="421"/>
      <c r="T222" s="422"/>
      <c r="U222" s="420"/>
      <c r="V222" s="412"/>
      <c r="W222" s="378"/>
      <c r="X222" s="379"/>
      <c r="Y222" s="380"/>
      <c r="Z222" s="412">
        <f t="shared" si="41"/>
        <v>0</v>
      </c>
      <c r="AA222" s="379"/>
      <c r="AB222" s="379"/>
    </row>
    <row r="223" spans="1:28" ht="12.75" customHeight="1">
      <c r="A223" s="234">
        <v>14</v>
      </c>
      <c r="B223" s="58"/>
      <c r="C223" s="32"/>
      <c r="D223" s="32"/>
      <c r="E223" s="32"/>
      <c r="F223" s="32"/>
      <c r="G223" s="59"/>
      <c r="H223" s="58"/>
      <c r="I223" s="32"/>
      <c r="J223" s="32"/>
      <c r="K223" s="59"/>
      <c r="L223" s="399"/>
      <c r="M223" s="400"/>
      <c r="N223" s="60"/>
      <c r="O223" s="379"/>
      <c r="P223" s="379"/>
      <c r="Q223" s="423"/>
      <c r="R223" s="424"/>
      <c r="S223" s="421"/>
      <c r="T223" s="422"/>
      <c r="U223" s="420"/>
      <c r="V223" s="412"/>
      <c r="W223" s="378"/>
      <c r="X223" s="379"/>
      <c r="Y223" s="380"/>
      <c r="Z223" s="412">
        <f t="shared" si="41"/>
        <v>0</v>
      </c>
      <c r="AA223" s="379"/>
      <c r="AB223" s="379"/>
    </row>
    <row r="224" spans="1:28" ht="11.25">
      <c r="A224" s="242">
        <v>15</v>
      </c>
      <c r="B224" s="133"/>
      <c r="C224" s="33"/>
      <c r="D224" s="33"/>
      <c r="E224" s="33"/>
      <c r="F224" s="33"/>
      <c r="G224" s="134"/>
      <c r="H224" s="121"/>
      <c r="I224" s="54"/>
      <c r="J224" s="54"/>
      <c r="K224" s="123"/>
      <c r="L224" s="431"/>
      <c r="M224" s="432"/>
      <c r="N224" s="124"/>
      <c r="O224" s="407"/>
      <c r="P224" s="407"/>
      <c r="Q224" s="557"/>
      <c r="R224" s="718"/>
      <c r="S224" s="433"/>
      <c r="T224" s="434"/>
      <c r="U224" s="435"/>
      <c r="V224" s="430"/>
      <c r="W224" s="428"/>
      <c r="X224" s="407"/>
      <c r="Y224" s="429"/>
      <c r="Z224" s="430">
        <f t="shared" si="41"/>
        <v>0</v>
      </c>
      <c r="AA224" s="407"/>
      <c r="AB224" s="407"/>
    </row>
    <row r="225" spans="1:28" ht="11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104" t="s">
        <v>258</v>
      </c>
      <c r="U225" s="469">
        <f>SUM(U210:V224)</f>
        <v>3.036640284255556</v>
      </c>
      <c r="V225" s="469"/>
      <c r="W225" s="99"/>
      <c r="X225" s="99"/>
      <c r="Y225" s="99"/>
      <c r="Z225" s="426">
        <f>ROUND(SUM(Z210:AB224),-4)</f>
        <v>300000</v>
      </c>
      <c r="AA225" s="426"/>
      <c r="AB225" s="426"/>
    </row>
    <row r="226" spans="1:28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06" t="s">
        <v>334</v>
      </c>
      <c r="U226" s="5"/>
      <c r="W226" s="105">
        <v>100</v>
      </c>
      <c r="X226" s="5" t="s">
        <v>247</v>
      </c>
      <c r="Y226" s="103" t="s">
        <v>213</v>
      </c>
      <c r="Z226" s="427">
        <f>ROUND(Z225*W226/100,-4)</f>
        <v>300000</v>
      </c>
      <c r="AA226" s="427"/>
      <c r="AB226" s="427"/>
    </row>
    <row r="227" spans="20:28" ht="11.25">
      <c r="T227" s="107" t="s">
        <v>336</v>
      </c>
      <c r="U227" s="99"/>
      <c r="V227" s="99"/>
      <c r="W227" s="108" t="s">
        <v>337</v>
      </c>
      <c r="X227" s="68"/>
      <c r="Y227" s="102" t="s">
        <v>213</v>
      </c>
      <c r="Z227" s="425">
        <f>ROUND(SUM(Z225:AB226),-4)</f>
        <v>600000</v>
      </c>
      <c r="AA227" s="425"/>
      <c r="AB227" s="425"/>
    </row>
    <row r="228" spans="20:28" ht="11.25">
      <c r="T228" s="107" t="s">
        <v>336</v>
      </c>
      <c r="U228" s="99"/>
      <c r="V228" s="99"/>
      <c r="W228" s="104" t="s">
        <v>335</v>
      </c>
      <c r="X228" s="68"/>
      <c r="Y228" s="100" t="s">
        <v>213</v>
      </c>
      <c r="Z228" s="426">
        <f>Z227*Z10</f>
        <v>600000</v>
      </c>
      <c r="AA228" s="426"/>
      <c r="AB228" s="426"/>
    </row>
    <row r="229" spans="1:28" ht="12.75" customHeight="1">
      <c r="A229" s="69" t="str">
        <f>A183</f>
        <v> NTES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AB229" s="63" t="str">
        <f>AB183</f>
        <v>Narai Thermal Engineering Services </v>
      </c>
    </row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</sheetData>
  <mergeCells count="1257">
    <mergeCell ref="AO151:AP151"/>
    <mergeCell ref="AQ150:AR150"/>
    <mergeCell ref="AT150:AU150"/>
    <mergeCell ref="E160:F161"/>
    <mergeCell ref="AL161:AM161"/>
    <mergeCell ref="AN161:AO161"/>
    <mergeCell ref="AD161:AE161"/>
    <mergeCell ref="AF161:AG161"/>
    <mergeCell ref="AH161:AI161"/>
    <mergeCell ref="AJ161:AK161"/>
    <mergeCell ref="AL159:AO159"/>
    <mergeCell ref="AD159:AG159"/>
    <mergeCell ref="AD160:AE160"/>
    <mergeCell ref="AF160:AG160"/>
    <mergeCell ref="AL160:AM160"/>
    <mergeCell ref="AN160:AO160"/>
    <mergeCell ref="AH159:AK159"/>
    <mergeCell ref="AH160:AI160"/>
    <mergeCell ref="AJ160:AK160"/>
    <mergeCell ref="U225:V225"/>
    <mergeCell ref="Q197:R197"/>
    <mergeCell ref="Q198:R198"/>
    <mergeCell ref="Q199:R199"/>
    <mergeCell ref="Q200:R200"/>
    <mergeCell ref="Q222:R222"/>
    <mergeCell ref="Q223:R223"/>
    <mergeCell ref="Q224:R224"/>
    <mergeCell ref="Q219:R219"/>
    <mergeCell ref="Q217:R217"/>
    <mergeCell ref="H208:K209"/>
    <mergeCell ref="Q186:T186"/>
    <mergeCell ref="Q187:R187"/>
    <mergeCell ref="S187:T187"/>
    <mergeCell ref="Q208:T208"/>
    <mergeCell ref="Q209:R209"/>
    <mergeCell ref="S209:T209"/>
    <mergeCell ref="Q195:R195"/>
    <mergeCell ref="Q196:R196"/>
    <mergeCell ref="S200:T200"/>
    <mergeCell ref="Z203:AB203"/>
    <mergeCell ref="Z204:AB204"/>
    <mergeCell ref="Z205:AB205"/>
    <mergeCell ref="Z206:AB206"/>
    <mergeCell ref="W202:Y202"/>
    <mergeCell ref="Z202:AB202"/>
    <mergeCell ref="L201:M201"/>
    <mergeCell ref="O201:P201"/>
    <mergeCell ref="Q201:R201"/>
    <mergeCell ref="Q202:R202"/>
    <mergeCell ref="L202:M202"/>
    <mergeCell ref="O202:P202"/>
    <mergeCell ref="S202:T202"/>
    <mergeCell ref="U202:V202"/>
    <mergeCell ref="U199:V199"/>
    <mergeCell ref="Z198:AB198"/>
    <mergeCell ref="W199:Y199"/>
    <mergeCell ref="Z199:AB199"/>
    <mergeCell ref="U198:V198"/>
    <mergeCell ref="W200:Y200"/>
    <mergeCell ref="Z200:AB200"/>
    <mergeCell ref="W201:Y201"/>
    <mergeCell ref="Z201:AB201"/>
    <mergeCell ref="W195:Y195"/>
    <mergeCell ref="Z195:AB195"/>
    <mergeCell ref="W196:Y196"/>
    <mergeCell ref="Z196:AB196"/>
    <mergeCell ref="W197:Y197"/>
    <mergeCell ref="Z197:AB197"/>
    <mergeCell ref="L196:M196"/>
    <mergeCell ref="O196:P196"/>
    <mergeCell ref="S196:T196"/>
    <mergeCell ref="U196:V196"/>
    <mergeCell ref="L197:M197"/>
    <mergeCell ref="O197:P197"/>
    <mergeCell ref="S197:T197"/>
    <mergeCell ref="U197:V197"/>
    <mergeCell ref="L195:M195"/>
    <mergeCell ref="O195:P195"/>
    <mergeCell ref="S195:T195"/>
    <mergeCell ref="U195:V195"/>
    <mergeCell ref="W194:Y194"/>
    <mergeCell ref="Z194:AB194"/>
    <mergeCell ref="L193:M193"/>
    <mergeCell ref="O193:P193"/>
    <mergeCell ref="U193:V193"/>
    <mergeCell ref="Q194:R194"/>
    <mergeCell ref="Q193:R193"/>
    <mergeCell ref="L194:M194"/>
    <mergeCell ref="O194:P194"/>
    <mergeCell ref="S194:T194"/>
    <mergeCell ref="U194:V194"/>
    <mergeCell ref="W193:Y193"/>
    <mergeCell ref="A184:AB184"/>
    <mergeCell ref="U186:V186"/>
    <mergeCell ref="A185:AB185"/>
    <mergeCell ref="B186:G187"/>
    <mergeCell ref="A186:A187"/>
    <mergeCell ref="H186:K187"/>
    <mergeCell ref="W191:Y191"/>
    <mergeCell ref="Z193:AB193"/>
    <mergeCell ref="Z192:AB192"/>
    <mergeCell ref="Q188:R188"/>
    <mergeCell ref="O191:P191"/>
    <mergeCell ref="S191:T191"/>
    <mergeCell ref="U191:V191"/>
    <mergeCell ref="W190:Y190"/>
    <mergeCell ref="Z190:AB190"/>
    <mergeCell ref="Q189:R189"/>
    <mergeCell ref="Z191:AB191"/>
    <mergeCell ref="Q190:R190"/>
    <mergeCell ref="L192:M192"/>
    <mergeCell ref="O192:P192"/>
    <mergeCell ref="S192:T192"/>
    <mergeCell ref="W192:Y192"/>
    <mergeCell ref="U192:V192"/>
    <mergeCell ref="Q192:R192"/>
    <mergeCell ref="Q191:R191"/>
    <mergeCell ref="W188:Y188"/>
    <mergeCell ref="Z188:AB188"/>
    <mergeCell ref="W189:Y189"/>
    <mergeCell ref="Z189:AB189"/>
    <mergeCell ref="L189:M189"/>
    <mergeCell ref="O189:P189"/>
    <mergeCell ref="S193:T193"/>
    <mergeCell ref="U189:V189"/>
    <mergeCell ref="S189:T189"/>
    <mergeCell ref="O190:P190"/>
    <mergeCell ref="S190:T190"/>
    <mergeCell ref="U190:V190"/>
    <mergeCell ref="L190:M190"/>
    <mergeCell ref="L191:M191"/>
    <mergeCell ref="L188:M188"/>
    <mergeCell ref="O188:P188"/>
    <mergeCell ref="S188:T188"/>
    <mergeCell ref="U188:V188"/>
    <mergeCell ref="W186:Y187"/>
    <mergeCell ref="Z186:AB187"/>
    <mergeCell ref="L187:M187"/>
    <mergeCell ref="O187:P187"/>
    <mergeCell ref="U187:V187"/>
    <mergeCell ref="L186:P186"/>
    <mergeCell ref="T129:U129"/>
    <mergeCell ref="AN45:AW45"/>
    <mergeCell ref="AI47:AJ47"/>
    <mergeCell ref="AN47:AO47"/>
    <mergeCell ref="AP47:AQ47"/>
    <mergeCell ref="AR47:AS47"/>
    <mergeCell ref="AT47:AU47"/>
    <mergeCell ref="AV47:AW47"/>
    <mergeCell ref="W113:Y113"/>
    <mergeCell ref="Z113:AB113"/>
    <mergeCell ref="T118:V118"/>
    <mergeCell ref="U114:V114"/>
    <mergeCell ref="X118:Y118"/>
    <mergeCell ref="Q118:S118"/>
    <mergeCell ref="W114:Y114"/>
    <mergeCell ref="R115:S115"/>
    <mergeCell ref="R117:S117"/>
    <mergeCell ref="W117:Y117"/>
    <mergeCell ref="P114:Q114"/>
    <mergeCell ref="O118:P118"/>
    <mergeCell ref="Z165:AB165"/>
    <mergeCell ref="X165:Y165"/>
    <mergeCell ref="X164:Y164"/>
    <mergeCell ref="X162:Y162"/>
    <mergeCell ref="Z162:AB162"/>
    <mergeCell ref="Z164:AB164"/>
    <mergeCell ref="P129:Q129"/>
    <mergeCell ref="J125:K125"/>
    <mergeCell ref="J127:K127"/>
    <mergeCell ref="J128:K128"/>
    <mergeCell ref="J129:K129"/>
    <mergeCell ref="O119:P119"/>
    <mergeCell ref="K117:L117"/>
    <mergeCell ref="N117:O117"/>
    <mergeCell ref="P117:Q117"/>
    <mergeCell ref="K51:L51"/>
    <mergeCell ref="K56:L56"/>
    <mergeCell ref="K74:L74"/>
    <mergeCell ref="K62:L62"/>
    <mergeCell ref="K54:L54"/>
    <mergeCell ref="K71:L71"/>
    <mergeCell ref="K58:L58"/>
    <mergeCell ref="K95:L95"/>
    <mergeCell ref="K61:O61"/>
    <mergeCell ref="K65:L65"/>
    <mergeCell ref="K69:L69"/>
    <mergeCell ref="F61:J62"/>
    <mergeCell ref="K78:L78"/>
    <mergeCell ref="K72:L72"/>
    <mergeCell ref="K66:L66"/>
    <mergeCell ref="A155:D157"/>
    <mergeCell ref="A158:D161"/>
    <mergeCell ref="I158:J158"/>
    <mergeCell ref="I157:J157"/>
    <mergeCell ref="I155:J155"/>
    <mergeCell ref="J164:K164"/>
    <mergeCell ref="E164:F164"/>
    <mergeCell ref="I159:J159"/>
    <mergeCell ref="I160:J160"/>
    <mergeCell ref="A98:B99"/>
    <mergeCell ref="A89:B90"/>
    <mergeCell ref="A91:B92"/>
    <mergeCell ref="K97:L97"/>
    <mergeCell ref="K93:L93"/>
    <mergeCell ref="K94:L94"/>
    <mergeCell ref="K99:L99"/>
    <mergeCell ref="K89:L89"/>
    <mergeCell ref="K92:L92"/>
    <mergeCell ref="K98:L98"/>
    <mergeCell ref="AV151:AX151"/>
    <mergeCell ref="L123:N123"/>
    <mergeCell ref="J122:K122"/>
    <mergeCell ref="J123:K123"/>
    <mergeCell ref="J137:K137"/>
    <mergeCell ref="Z122:AB122"/>
    <mergeCell ref="T122:U122"/>
    <mergeCell ref="W123:Y123"/>
    <mergeCell ref="Z123:AB123"/>
    <mergeCell ref="W122:Y122"/>
    <mergeCell ref="R114:S114"/>
    <mergeCell ref="U104:V104"/>
    <mergeCell ref="R113:S113"/>
    <mergeCell ref="W104:Y104"/>
    <mergeCell ref="R112:S112"/>
    <mergeCell ref="U112:V112"/>
    <mergeCell ref="W112:Y112"/>
    <mergeCell ref="W107:Y107"/>
    <mergeCell ref="R109:S109"/>
    <mergeCell ref="W105:Y105"/>
    <mergeCell ref="Z114:AB114"/>
    <mergeCell ref="Z111:AB111"/>
    <mergeCell ref="Z112:AB112"/>
    <mergeCell ref="U111:V111"/>
    <mergeCell ref="W111:Y111"/>
    <mergeCell ref="U113:V113"/>
    <mergeCell ref="A37:B38"/>
    <mergeCell ref="A39:B40"/>
    <mergeCell ref="A61:E62"/>
    <mergeCell ref="A86:B88"/>
    <mergeCell ref="A83:B85"/>
    <mergeCell ref="X8:AB8"/>
    <mergeCell ref="R7:T7"/>
    <mergeCell ref="N13:O13"/>
    <mergeCell ref="U13:V13"/>
    <mergeCell ref="W12:Y13"/>
    <mergeCell ref="P12:Q13"/>
    <mergeCell ref="R13:S13"/>
    <mergeCell ref="R12:V12"/>
    <mergeCell ref="K21:L21"/>
    <mergeCell ref="N21:O21"/>
    <mergeCell ref="A1:AB3"/>
    <mergeCell ref="X4:AB4"/>
    <mergeCell ref="X5:AB5"/>
    <mergeCell ref="X6:AB6"/>
    <mergeCell ref="R5:S5"/>
    <mergeCell ref="A12:E13"/>
    <mergeCell ref="K14:L14"/>
    <mergeCell ref="N14:O14"/>
    <mergeCell ref="K13:L13"/>
    <mergeCell ref="K12:O12"/>
    <mergeCell ref="K28:L28"/>
    <mergeCell ref="N28:O28"/>
    <mergeCell ref="K27:L27"/>
    <mergeCell ref="K24:L24"/>
    <mergeCell ref="N15:O15"/>
    <mergeCell ref="N17:O17"/>
    <mergeCell ref="N26:O26"/>
    <mergeCell ref="N20:O20"/>
    <mergeCell ref="W21:Y21"/>
    <mergeCell ref="W20:Y20"/>
    <mergeCell ref="A31:B33"/>
    <mergeCell ref="K23:L23"/>
    <mergeCell ref="N23:O23"/>
    <mergeCell ref="K29:L29"/>
    <mergeCell ref="N29:O29"/>
    <mergeCell ref="N31:O31"/>
    <mergeCell ref="N25:O25"/>
    <mergeCell ref="K20:L20"/>
    <mergeCell ref="P22:Q22"/>
    <mergeCell ref="R22:S22"/>
    <mergeCell ref="R24:S24"/>
    <mergeCell ref="U21:V21"/>
    <mergeCell ref="P21:Q21"/>
    <mergeCell ref="R21:S21"/>
    <mergeCell ref="R25:S25"/>
    <mergeCell ref="U25:V25"/>
    <mergeCell ref="W25:Y25"/>
    <mergeCell ref="P24:Q24"/>
    <mergeCell ref="W24:Y24"/>
    <mergeCell ref="E10:F10"/>
    <mergeCell ref="B11:AB11"/>
    <mergeCell ref="W23:Y23"/>
    <mergeCell ref="Z21:AB21"/>
    <mergeCell ref="Z22:AB22"/>
    <mergeCell ref="Z23:AB23"/>
    <mergeCell ref="Z12:AB13"/>
    <mergeCell ref="W14:Y14"/>
    <mergeCell ref="K15:L15"/>
    <mergeCell ref="W22:Y22"/>
    <mergeCell ref="Z68:AB68"/>
    <mergeCell ref="Z118:AB118"/>
    <mergeCell ref="Z73:AB73"/>
    <mergeCell ref="Z110:AB110"/>
    <mergeCell ref="Z108:AB108"/>
    <mergeCell ref="Z74:AB74"/>
    <mergeCell ref="Z71:AB71"/>
    <mergeCell ref="Z103:AB103"/>
    <mergeCell ref="Z102:AB102"/>
    <mergeCell ref="Z93:AB93"/>
    <mergeCell ref="U27:V27"/>
    <mergeCell ref="U24:V24"/>
    <mergeCell ref="U42:V42"/>
    <mergeCell ref="W37:Y37"/>
    <mergeCell ref="W38:Y38"/>
    <mergeCell ref="W42:Y42"/>
    <mergeCell ref="U40:V40"/>
    <mergeCell ref="W40:Y40"/>
    <mergeCell ref="U28:V28"/>
    <mergeCell ref="W30:Y30"/>
    <mergeCell ref="U43:V43"/>
    <mergeCell ref="U39:V39"/>
    <mergeCell ref="Z36:AB36"/>
    <mergeCell ref="Z43:AB43"/>
    <mergeCell ref="Z42:AB42"/>
    <mergeCell ref="Z38:AB38"/>
    <mergeCell ref="Z40:AB40"/>
    <mergeCell ref="W43:Y43"/>
    <mergeCell ref="U37:V37"/>
    <mergeCell ref="U51:V51"/>
    <mergeCell ref="K68:L68"/>
    <mergeCell ref="N68:O68"/>
    <mergeCell ref="K67:L67"/>
    <mergeCell ref="N67:O67"/>
    <mergeCell ref="R58:S58"/>
    <mergeCell ref="P54:Q54"/>
    <mergeCell ref="R53:S53"/>
    <mergeCell ref="R54:S54"/>
    <mergeCell ref="R55:S55"/>
    <mergeCell ref="W50:Y50"/>
    <mergeCell ref="U49:V49"/>
    <mergeCell ref="U50:V50"/>
    <mergeCell ref="W47:Y47"/>
    <mergeCell ref="W49:Y49"/>
    <mergeCell ref="W48:Y48"/>
    <mergeCell ref="U47:V47"/>
    <mergeCell ref="Z67:AB67"/>
    <mergeCell ref="W61:Y62"/>
    <mergeCell ref="Z45:AB45"/>
    <mergeCell ref="W65:Y65"/>
    <mergeCell ref="W51:Y51"/>
    <mergeCell ref="Z61:AB62"/>
    <mergeCell ref="Z49:AB49"/>
    <mergeCell ref="Z56:AB56"/>
    <mergeCell ref="Z55:AB55"/>
    <mergeCell ref="Z54:AB54"/>
    <mergeCell ref="Z66:AB66"/>
    <mergeCell ref="Z47:AB47"/>
    <mergeCell ref="Z44:AB44"/>
    <mergeCell ref="Z46:AB46"/>
    <mergeCell ref="Z65:AB65"/>
    <mergeCell ref="Z64:AB64"/>
    <mergeCell ref="Z51:AB51"/>
    <mergeCell ref="Z53:AB53"/>
    <mergeCell ref="Z52:AB52"/>
    <mergeCell ref="Z50:AB50"/>
    <mergeCell ref="P15:Q15"/>
    <mergeCell ref="U15:V15"/>
    <mergeCell ref="U23:V23"/>
    <mergeCell ref="U22:V22"/>
    <mergeCell ref="P23:Q23"/>
    <mergeCell ref="R23:S23"/>
    <mergeCell ref="U17:V17"/>
    <mergeCell ref="P20:Q20"/>
    <mergeCell ref="R20:S20"/>
    <mergeCell ref="U16:V16"/>
    <mergeCell ref="R18:S18"/>
    <mergeCell ref="R16:S16"/>
    <mergeCell ref="F12:J13"/>
    <mergeCell ref="U20:V20"/>
    <mergeCell ref="P14:Q14"/>
    <mergeCell ref="R14:S14"/>
    <mergeCell ref="U14:V14"/>
    <mergeCell ref="K18:L18"/>
    <mergeCell ref="N18:O18"/>
    <mergeCell ref="P18:Q18"/>
    <mergeCell ref="K17:L17"/>
    <mergeCell ref="U18:V18"/>
    <mergeCell ref="Z14:AB14"/>
    <mergeCell ref="U64:V64"/>
    <mergeCell ref="W64:Y64"/>
    <mergeCell ref="R64:S64"/>
    <mergeCell ref="Z59:AB59"/>
    <mergeCell ref="Z30:AB30"/>
    <mergeCell ref="A63:AB63"/>
    <mergeCell ref="K22:L22"/>
    <mergeCell ref="N22:O22"/>
    <mergeCell ref="P17:Q17"/>
    <mergeCell ref="Z171:AB171"/>
    <mergeCell ref="Z177:AB177"/>
    <mergeCell ref="B172:AB172"/>
    <mergeCell ref="B168:AB168"/>
    <mergeCell ref="X171:Y171"/>
    <mergeCell ref="L169:N169"/>
    <mergeCell ref="I170:K170"/>
    <mergeCell ref="L170:N170"/>
    <mergeCell ref="N81:O81"/>
    <mergeCell ref="P81:Q81"/>
    <mergeCell ref="K87:L87"/>
    <mergeCell ref="N87:O87"/>
    <mergeCell ref="P87:Q87"/>
    <mergeCell ref="K85:L85"/>
    <mergeCell ref="K86:L86"/>
    <mergeCell ref="K83:L83"/>
    <mergeCell ref="P85:Q85"/>
    <mergeCell ref="K81:L81"/>
    <mergeCell ref="N100:O100"/>
    <mergeCell ref="P100:Q100"/>
    <mergeCell ref="N95:O95"/>
    <mergeCell ref="P92:Q92"/>
    <mergeCell ref="N93:O93"/>
    <mergeCell ref="N94:O94"/>
    <mergeCell ref="P94:Q94"/>
    <mergeCell ref="P99:Q99"/>
    <mergeCell ref="P103:Q103"/>
    <mergeCell ref="P105:Q105"/>
    <mergeCell ref="R50:S50"/>
    <mergeCell ref="R42:S42"/>
    <mergeCell ref="R48:S48"/>
    <mergeCell ref="P46:Q46"/>
    <mergeCell ref="P47:Q47"/>
    <mergeCell ref="P45:Q45"/>
    <mergeCell ref="R46:S46"/>
    <mergeCell ref="R45:S45"/>
    <mergeCell ref="P35:Q35"/>
    <mergeCell ref="R37:S37"/>
    <mergeCell ref="R47:S47"/>
    <mergeCell ref="R27:S27"/>
    <mergeCell ref="R43:S43"/>
    <mergeCell ref="R44:S44"/>
    <mergeCell ref="R28:S28"/>
    <mergeCell ref="R30:S30"/>
    <mergeCell ref="R35:S35"/>
    <mergeCell ref="R36:S36"/>
    <mergeCell ref="R38:S38"/>
    <mergeCell ref="P37:Q37"/>
    <mergeCell ref="R41:S41"/>
    <mergeCell ref="P65:Q65"/>
    <mergeCell ref="R61:V61"/>
    <mergeCell ref="R62:S62"/>
    <mergeCell ref="U62:V62"/>
    <mergeCell ref="R65:S65"/>
    <mergeCell ref="U65:V65"/>
    <mergeCell ref="R39:S39"/>
    <mergeCell ref="N38:O38"/>
    <mergeCell ref="P38:Q38"/>
    <mergeCell ref="K42:L42"/>
    <mergeCell ref="N42:O42"/>
    <mergeCell ref="N39:O39"/>
    <mergeCell ref="K41:L41"/>
    <mergeCell ref="N41:O41"/>
    <mergeCell ref="P41:Q41"/>
    <mergeCell ref="K40:L40"/>
    <mergeCell ref="K39:L39"/>
    <mergeCell ref="U106:V106"/>
    <mergeCell ref="R75:S75"/>
    <mergeCell ref="R82:S82"/>
    <mergeCell ref="R83:S83"/>
    <mergeCell ref="R105:S105"/>
    <mergeCell ref="R78:S78"/>
    <mergeCell ref="R99:S99"/>
    <mergeCell ref="R81:S81"/>
    <mergeCell ref="R79:S79"/>
    <mergeCell ref="R102:S102"/>
    <mergeCell ref="R80:S80"/>
    <mergeCell ref="U99:V99"/>
    <mergeCell ref="U93:V93"/>
    <mergeCell ref="R85:S85"/>
    <mergeCell ref="R96:S96"/>
    <mergeCell ref="R89:S89"/>
    <mergeCell ref="U95:V95"/>
    <mergeCell ref="U78:V78"/>
    <mergeCell ref="U81:V81"/>
    <mergeCell ref="U83:V83"/>
    <mergeCell ref="U105:V105"/>
    <mergeCell ref="U91:V91"/>
    <mergeCell ref="U98:V98"/>
    <mergeCell ref="U84:V84"/>
    <mergeCell ref="U97:V97"/>
    <mergeCell ref="N78:O78"/>
    <mergeCell ref="P78:Q78"/>
    <mergeCell ref="N71:O71"/>
    <mergeCell ref="N92:O92"/>
    <mergeCell ref="N72:O72"/>
    <mergeCell ref="N89:O89"/>
    <mergeCell ref="N85:O85"/>
    <mergeCell ref="N83:O83"/>
    <mergeCell ref="P83:Q83"/>
    <mergeCell ref="P91:Q91"/>
    <mergeCell ref="R40:S40"/>
    <mergeCell ref="P44:Q44"/>
    <mergeCell ref="P49:Q49"/>
    <mergeCell ref="R49:S49"/>
    <mergeCell ref="P40:Q40"/>
    <mergeCell ref="P42:Q42"/>
    <mergeCell ref="P43:Q43"/>
    <mergeCell ref="N43:O43"/>
    <mergeCell ref="K50:L50"/>
    <mergeCell ref="N40:O40"/>
    <mergeCell ref="K45:L45"/>
    <mergeCell ref="N47:O47"/>
    <mergeCell ref="K47:L47"/>
    <mergeCell ref="K43:L43"/>
    <mergeCell ref="P50:Q50"/>
    <mergeCell ref="K44:L44"/>
    <mergeCell ref="N44:O44"/>
    <mergeCell ref="N46:O46"/>
    <mergeCell ref="N45:O45"/>
    <mergeCell ref="K46:L46"/>
    <mergeCell ref="N50:O50"/>
    <mergeCell ref="K49:L49"/>
    <mergeCell ref="N49:O49"/>
    <mergeCell ref="N88:O88"/>
    <mergeCell ref="R95:S95"/>
    <mergeCell ref="U85:V85"/>
    <mergeCell ref="R97:S97"/>
    <mergeCell ref="U88:V88"/>
    <mergeCell ref="P93:Q93"/>
    <mergeCell ref="R93:S93"/>
    <mergeCell ref="R91:S91"/>
    <mergeCell ref="P90:Q90"/>
    <mergeCell ref="R92:S92"/>
    <mergeCell ref="P71:Q71"/>
    <mergeCell ref="R70:S70"/>
    <mergeCell ref="N74:O74"/>
    <mergeCell ref="P74:Q74"/>
    <mergeCell ref="R74:S74"/>
    <mergeCell ref="P72:Q72"/>
    <mergeCell ref="R73:S73"/>
    <mergeCell ref="W125:Y125"/>
    <mergeCell ref="T126:U126"/>
    <mergeCell ref="W127:Y127"/>
    <mergeCell ref="T127:U127"/>
    <mergeCell ref="W169:Y169"/>
    <mergeCell ref="Z167:AB167"/>
    <mergeCell ref="X167:Y167"/>
    <mergeCell ref="Z166:AB166"/>
    <mergeCell ref="X166:Y166"/>
    <mergeCell ref="Z169:AB169"/>
    <mergeCell ref="Z132:AB132"/>
    <mergeCell ref="Z150:AB150"/>
    <mergeCell ref="B133:AB133"/>
    <mergeCell ref="B121:AB121"/>
    <mergeCell ref="X150:Y150"/>
    <mergeCell ref="Z126:AB126"/>
    <mergeCell ref="T128:U128"/>
    <mergeCell ref="W126:Y126"/>
    <mergeCell ref="W128:Y128"/>
    <mergeCell ref="T124:U124"/>
    <mergeCell ref="K31:L31"/>
    <mergeCell ref="W46:Y46"/>
    <mergeCell ref="U41:V41"/>
    <mergeCell ref="U34:V34"/>
    <mergeCell ref="U32:V32"/>
    <mergeCell ref="R31:S31"/>
    <mergeCell ref="K38:L38"/>
    <mergeCell ref="K33:L33"/>
    <mergeCell ref="N33:O33"/>
    <mergeCell ref="P39:Q39"/>
    <mergeCell ref="R57:S57"/>
    <mergeCell ref="R56:S56"/>
    <mergeCell ref="P57:Q57"/>
    <mergeCell ref="Z127:AB127"/>
    <mergeCell ref="Z119:AB119"/>
    <mergeCell ref="Q119:S119"/>
    <mergeCell ref="T119:V119"/>
    <mergeCell ref="X119:Y119"/>
    <mergeCell ref="T125:U125"/>
    <mergeCell ref="W124:Y124"/>
    <mergeCell ref="L155:N155"/>
    <mergeCell ref="I161:J161"/>
    <mergeCell ref="I156:J156"/>
    <mergeCell ref="I176:K176"/>
    <mergeCell ref="L158:N158"/>
    <mergeCell ref="L161:N161"/>
    <mergeCell ref="L159:N159"/>
    <mergeCell ref="L160:N160"/>
    <mergeCell ref="L157:N157"/>
    <mergeCell ref="L164:N164"/>
    <mergeCell ref="O156:Q157"/>
    <mergeCell ref="T157:U157"/>
    <mergeCell ref="T156:U156"/>
    <mergeCell ref="L156:N156"/>
    <mergeCell ref="S164:T164"/>
    <mergeCell ref="S169:T169"/>
    <mergeCell ref="L166:N166"/>
    <mergeCell ref="L165:N165"/>
    <mergeCell ref="E170:F170"/>
    <mergeCell ref="I169:K169"/>
    <mergeCell ref="I174:K174"/>
    <mergeCell ref="E169:F169"/>
    <mergeCell ref="Z180:AB180"/>
    <mergeCell ref="Z178:AB178"/>
    <mergeCell ref="S173:T173"/>
    <mergeCell ref="W173:Y173"/>
    <mergeCell ref="S174:T174"/>
    <mergeCell ref="W174:Y174"/>
    <mergeCell ref="Z174:AB174"/>
    <mergeCell ref="X177:Y177"/>
    <mergeCell ref="AI175:AJ175"/>
    <mergeCell ref="E175:F175"/>
    <mergeCell ref="Z181:AB181"/>
    <mergeCell ref="Z182:AB182"/>
    <mergeCell ref="AF176:AH176"/>
    <mergeCell ref="AF177:AH177"/>
    <mergeCell ref="AF178:AH178"/>
    <mergeCell ref="Z179:AB179"/>
    <mergeCell ref="AI180:AJ180"/>
    <mergeCell ref="AI181:AJ181"/>
    <mergeCell ref="AF172:AH172"/>
    <mergeCell ref="AF173:AH173"/>
    <mergeCell ref="AF174:AH174"/>
    <mergeCell ref="AF175:AH175"/>
    <mergeCell ref="AD171:AK171"/>
    <mergeCell ref="AF179:AH179"/>
    <mergeCell ref="AF180:AH180"/>
    <mergeCell ref="AF181:AH181"/>
    <mergeCell ref="AI172:AJ172"/>
    <mergeCell ref="AI173:AJ173"/>
    <mergeCell ref="AI174:AJ174"/>
    <mergeCell ref="AI179:AJ179"/>
    <mergeCell ref="AI176:AJ176"/>
    <mergeCell ref="AI177:AJ177"/>
    <mergeCell ref="T59:V59"/>
    <mergeCell ref="I175:K175"/>
    <mergeCell ref="L175:N175"/>
    <mergeCell ref="Z41:AB41"/>
    <mergeCell ref="U48:V48"/>
    <mergeCell ref="Z173:AB173"/>
    <mergeCell ref="L174:N174"/>
    <mergeCell ref="J166:K166"/>
    <mergeCell ref="P58:Q58"/>
    <mergeCell ref="P53:Q53"/>
    <mergeCell ref="Z88:AB88"/>
    <mergeCell ref="Z85:AB85"/>
    <mergeCell ref="L176:N176"/>
    <mergeCell ref="I173:K173"/>
    <mergeCell ref="L173:N173"/>
    <mergeCell ref="B163:AB163"/>
    <mergeCell ref="E173:F173"/>
    <mergeCell ref="E174:F174"/>
    <mergeCell ref="E166:F166"/>
    <mergeCell ref="E176:F176"/>
    <mergeCell ref="P16:Q16"/>
    <mergeCell ref="R17:S17"/>
    <mergeCell ref="AI178:AJ178"/>
    <mergeCell ref="Z33:AB33"/>
    <mergeCell ref="Z37:AB37"/>
    <mergeCell ref="Z34:AB34"/>
    <mergeCell ref="Z39:AB39"/>
    <mergeCell ref="Z48:AB48"/>
    <mergeCell ref="Z97:AB97"/>
    <mergeCell ref="Z82:AB82"/>
    <mergeCell ref="R51:S51"/>
    <mergeCell ref="W15:Y15"/>
    <mergeCell ref="Z15:AB15"/>
    <mergeCell ref="R15:S15"/>
    <mergeCell ref="A19:AB19"/>
    <mergeCell ref="W16:Y16"/>
    <mergeCell ref="Z16:AB16"/>
    <mergeCell ref="K16:L16"/>
    <mergeCell ref="N16:O16"/>
    <mergeCell ref="N51:O51"/>
    <mergeCell ref="P56:Q56"/>
    <mergeCell ref="P51:Q51"/>
    <mergeCell ref="N56:O56"/>
    <mergeCell ref="N55:O55"/>
    <mergeCell ref="P55:Q55"/>
    <mergeCell ref="N58:O58"/>
    <mergeCell ref="N52:O52"/>
    <mergeCell ref="P52:Q52"/>
    <mergeCell ref="K53:L53"/>
    <mergeCell ref="N53:O53"/>
    <mergeCell ref="K52:L52"/>
    <mergeCell ref="N57:O57"/>
    <mergeCell ref="K55:L55"/>
    <mergeCell ref="K57:L57"/>
    <mergeCell ref="N54:O54"/>
    <mergeCell ref="N24:O24"/>
    <mergeCell ref="W36:Y36"/>
    <mergeCell ref="P29:Q29"/>
    <mergeCell ref="R29:S29"/>
    <mergeCell ref="U33:V33"/>
    <mergeCell ref="R34:S34"/>
    <mergeCell ref="U29:V29"/>
    <mergeCell ref="P26:Q26"/>
    <mergeCell ref="R26:S26"/>
    <mergeCell ref="U26:V26"/>
    <mergeCell ref="K25:L25"/>
    <mergeCell ref="K26:L26"/>
    <mergeCell ref="K37:L37"/>
    <mergeCell ref="N34:O34"/>
    <mergeCell ref="K32:L32"/>
    <mergeCell ref="N32:O32"/>
    <mergeCell ref="N37:O37"/>
    <mergeCell ref="N35:O35"/>
    <mergeCell ref="K36:L36"/>
    <mergeCell ref="N36:O36"/>
    <mergeCell ref="P27:Q27"/>
    <mergeCell ref="P28:Q28"/>
    <mergeCell ref="P25:Q25"/>
    <mergeCell ref="N27:O27"/>
    <mergeCell ref="U35:V35"/>
    <mergeCell ref="P36:Q36"/>
    <mergeCell ref="U30:V30"/>
    <mergeCell ref="P34:Q34"/>
    <mergeCell ref="P32:Q32"/>
    <mergeCell ref="U31:V31"/>
    <mergeCell ref="R32:S32"/>
    <mergeCell ref="P33:Q33"/>
    <mergeCell ref="P31:Q31"/>
    <mergeCell ref="R33:S33"/>
    <mergeCell ref="W26:Y26"/>
    <mergeCell ref="K35:L35"/>
    <mergeCell ref="Z35:AB35"/>
    <mergeCell ref="W27:Y27"/>
    <mergeCell ref="Z28:AB28"/>
    <mergeCell ref="Z31:AB31"/>
    <mergeCell ref="W34:Y34"/>
    <mergeCell ref="W33:Y33"/>
    <mergeCell ref="W35:Y35"/>
    <mergeCell ref="W28:Y28"/>
    <mergeCell ref="Z29:AB29"/>
    <mergeCell ref="Z26:AB26"/>
    <mergeCell ref="Z25:AB25"/>
    <mergeCell ref="Z27:AB27"/>
    <mergeCell ref="Z32:AB32"/>
    <mergeCell ref="W17:Y17"/>
    <mergeCell ref="Z17:AB17"/>
    <mergeCell ref="W18:Y18"/>
    <mergeCell ref="Z18:AB18"/>
    <mergeCell ref="Z20:AB20"/>
    <mergeCell ref="W31:Y31"/>
    <mergeCell ref="W32:Y32"/>
    <mergeCell ref="Z24:AB24"/>
    <mergeCell ref="W29:Y29"/>
    <mergeCell ref="U58:V58"/>
    <mergeCell ref="W58:Y58"/>
    <mergeCell ref="Z58:AB58"/>
    <mergeCell ref="U56:V56"/>
    <mergeCell ref="U57:V57"/>
    <mergeCell ref="W57:Y57"/>
    <mergeCell ref="Z57:AB57"/>
    <mergeCell ref="W56:Y56"/>
    <mergeCell ref="W55:Y55"/>
    <mergeCell ref="U54:V54"/>
    <mergeCell ref="U36:V36"/>
    <mergeCell ref="W54:Y54"/>
    <mergeCell ref="W53:Y53"/>
    <mergeCell ref="U52:V52"/>
    <mergeCell ref="W52:Y52"/>
    <mergeCell ref="U38:V38"/>
    <mergeCell ref="W45:Y45"/>
    <mergeCell ref="W41:Y41"/>
    <mergeCell ref="R52:S52"/>
    <mergeCell ref="U53:V53"/>
    <mergeCell ref="W39:Y39"/>
    <mergeCell ref="O59:P59"/>
    <mergeCell ref="X59:Y59"/>
    <mergeCell ref="U55:V55"/>
    <mergeCell ref="W44:Y44"/>
    <mergeCell ref="U44:V44"/>
    <mergeCell ref="U46:V46"/>
    <mergeCell ref="U45:V45"/>
    <mergeCell ref="P61:Q62"/>
    <mergeCell ref="R67:S67"/>
    <mergeCell ref="Q59:S59"/>
    <mergeCell ref="N62:O62"/>
    <mergeCell ref="P66:Q66"/>
    <mergeCell ref="R66:S66"/>
    <mergeCell ref="N65:O65"/>
    <mergeCell ref="N66:O66"/>
    <mergeCell ref="R69:S69"/>
    <mergeCell ref="P67:Q67"/>
    <mergeCell ref="W67:Y67"/>
    <mergeCell ref="W66:Y66"/>
    <mergeCell ref="P68:Q68"/>
    <mergeCell ref="R68:S68"/>
    <mergeCell ref="U67:V67"/>
    <mergeCell ref="W68:Y68"/>
    <mergeCell ref="U66:V66"/>
    <mergeCell ref="U68:V68"/>
    <mergeCell ref="P69:Q69"/>
    <mergeCell ref="K70:L70"/>
    <mergeCell ref="N70:O70"/>
    <mergeCell ref="P70:Q70"/>
    <mergeCell ref="N69:O69"/>
    <mergeCell ref="K75:L75"/>
    <mergeCell ref="W72:Y72"/>
    <mergeCell ref="U73:V73"/>
    <mergeCell ref="W73:Y73"/>
    <mergeCell ref="R72:S72"/>
    <mergeCell ref="U72:V72"/>
    <mergeCell ref="N75:O75"/>
    <mergeCell ref="P75:Q75"/>
    <mergeCell ref="W75:Y75"/>
    <mergeCell ref="U75:V75"/>
    <mergeCell ref="Z87:AB87"/>
    <mergeCell ref="W87:Y87"/>
    <mergeCell ref="Z86:AB86"/>
    <mergeCell ref="U77:V77"/>
    <mergeCell ref="W79:Y79"/>
    <mergeCell ref="W81:Y81"/>
    <mergeCell ref="Z79:AB79"/>
    <mergeCell ref="W80:Y80"/>
    <mergeCell ref="Z80:AB80"/>
    <mergeCell ref="U79:V79"/>
    <mergeCell ref="W88:Y88"/>
    <mergeCell ref="R88:S88"/>
    <mergeCell ref="U86:V86"/>
    <mergeCell ref="R87:S87"/>
    <mergeCell ref="U87:V87"/>
    <mergeCell ref="W86:Y86"/>
    <mergeCell ref="R86:S86"/>
    <mergeCell ref="Z81:AB81"/>
    <mergeCell ref="Z83:AB83"/>
    <mergeCell ref="U82:V82"/>
    <mergeCell ref="W82:Y82"/>
    <mergeCell ref="W83:Y83"/>
    <mergeCell ref="Z84:AB84"/>
    <mergeCell ref="W91:Y91"/>
    <mergeCell ref="W85:Y85"/>
    <mergeCell ref="K84:L84"/>
    <mergeCell ref="N84:O84"/>
    <mergeCell ref="P84:Q84"/>
    <mergeCell ref="P88:Q88"/>
    <mergeCell ref="R84:S84"/>
    <mergeCell ref="R90:S90"/>
    <mergeCell ref="K88:L88"/>
    <mergeCell ref="W84:Y84"/>
    <mergeCell ref="Z92:AB92"/>
    <mergeCell ref="K77:L77"/>
    <mergeCell ref="N77:O77"/>
    <mergeCell ref="P77:Q77"/>
    <mergeCell ref="R77:S77"/>
    <mergeCell ref="U89:V89"/>
    <mergeCell ref="W89:Y89"/>
    <mergeCell ref="Z89:AB89"/>
    <mergeCell ref="K80:L80"/>
    <mergeCell ref="Z99:AB99"/>
    <mergeCell ref="Z96:AB96"/>
    <mergeCell ref="Z95:AB95"/>
    <mergeCell ref="Z98:AB98"/>
    <mergeCell ref="Z94:AB94"/>
    <mergeCell ref="R94:S94"/>
    <mergeCell ref="U94:V94"/>
    <mergeCell ref="Z90:AB90"/>
    <mergeCell ref="W92:Y92"/>
    <mergeCell ref="W94:Y94"/>
    <mergeCell ref="U92:V92"/>
    <mergeCell ref="Z106:AB106"/>
    <mergeCell ref="K101:L101"/>
    <mergeCell ref="U102:V102"/>
    <mergeCell ref="R101:S101"/>
    <mergeCell ref="U101:V101"/>
    <mergeCell ref="U103:V103"/>
    <mergeCell ref="P104:Q104"/>
    <mergeCell ref="N103:O103"/>
    <mergeCell ref="K106:L106"/>
    <mergeCell ref="Z105:AB105"/>
    <mergeCell ref="Z104:AB104"/>
    <mergeCell ref="Z101:AB101"/>
    <mergeCell ref="R100:S100"/>
    <mergeCell ref="R104:S104"/>
    <mergeCell ref="R103:S103"/>
    <mergeCell ref="Z100:AB100"/>
    <mergeCell ref="W103:Y103"/>
    <mergeCell ref="W101:Y101"/>
    <mergeCell ref="U100:V100"/>
    <mergeCell ref="W102:Y102"/>
    <mergeCell ref="K76:L76"/>
    <mergeCell ref="N76:O76"/>
    <mergeCell ref="P76:Q76"/>
    <mergeCell ref="Z91:AB91"/>
    <mergeCell ref="K90:L90"/>
    <mergeCell ref="U90:V90"/>
    <mergeCell ref="K91:L91"/>
    <mergeCell ref="R76:S76"/>
    <mergeCell ref="U80:V80"/>
    <mergeCell ref="W90:Y90"/>
    <mergeCell ref="P89:Q89"/>
    <mergeCell ref="P86:Q86"/>
    <mergeCell ref="R71:S71"/>
    <mergeCell ref="N98:O98"/>
    <mergeCell ref="P98:Q98"/>
    <mergeCell ref="R98:S98"/>
    <mergeCell ref="P97:Q97"/>
    <mergeCell ref="N97:O97"/>
    <mergeCell ref="P95:Q95"/>
    <mergeCell ref="N80:O80"/>
    <mergeCell ref="Z72:AB72"/>
    <mergeCell ref="W69:Y69"/>
    <mergeCell ref="U69:V69"/>
    <mergeCell ref="U74:V74"/>
    <mergeCell ref="Z69:AB69"/>
    <mergeCell ref="Z70:AB70"/>
    <mergeCell ref="W71:Y71"/>
    <mergeCell ref="U70:V70"/>
    <mergeCell ref="W70:Y70"/>
    <mergeCell ref="U71:V71"/>
    <mergeCell ref="Z75:AB75"/>
    <mergeCell ref="W74:Y74"/>
    <mergeCell ref="W78:Y78"/>
    <mergeCell ref="Z78:AB78"/>
    <mergeCell ref="U76:V76"/>
    <mergeCell ref="W76:Y76"/>
    <mergeCell ref="Z77:AB77"/>
    <mergeCell ref="W77:Y77"/>
    <mergeCell ref="Z76:AB76"/>
    <mergeCell ref="W95:Y95"/>
    <mergeCell ref="U96:V96"/>
    <mergeCell ref="W96:Y96"/>
    <mergeCell ref="W93:Y93"/>
    <mergeCell ref="W99:Y99"/>
    <mergeCell ref="W98:Y98"/>
    <mergeCell ref="W97:Y97"/>
    <mergeCell ref="W100:Y100"/>
    <mergeCell ref="W108:Y108"/>
    <mergeCell ref="U107:V107"/>
    <mergeCell ref="W106:Y106"/>
    <mergeCell ref="P111:Q111"/>
    <mergeCell ref="R110:S110"/>
    <mergeCell ref="R108:S108"/>
    <mergeCell ref="R111:S111"/>
    <mergeCell ref="P109:Q109"/>
    <mergeCell ref="R107:S107"/>
    <mergeCell ref="R106:S106"/>
    <mergeCell ref="K103:L103"/>
    <mergeCell ref="K104:L104"/>
    <mergeCell ref="N104:O104"/>
    <mergeCell ref="N105:O105"/>
    <mergeCell ref="K105:L105"/>
    <mergeCell ref="K108:L108"/>
    <mergeCell ref="N108:O108"/>
    <mergeCell ref="K109:L109"/>
    <mergeCell ref="P108:Q108"/>
    <mergeCell ref="N114:O114"/>
    <mergeCell ref="N106:O106"/>
    <mergeCell ref="P106:Q106"/>
    <mergeCell ref="P110:Q110"/>
    <mergeCell ref="P112:Q112"/>
    <mergeCell ref="P113:Q113"/>
    <mergeCell ref="K113:L113"/>
    <mergeCell ref="N113:O113"/>
    <mergeCell ref="K114:L114"/>
    <mergeCell ref="N109:O109"/>
    <mergeCell ref="K112:L112"/>
    <mergeCell ref="N112:O112"/>
    <mergeCell ref="N110:O110"/>
    <mergeCell ref="K110:L110"/>
    <mergeCell ref="K111:L111"/>
    <mergeCell ref="N111:O111"/>
    <mergeCell ref="R116:S116"/>
    <mergeCell ref="K115:L115"/>
    <mergeCell ref="N115:O115"/>
    <mergeCell ref="P115:Q115"/>
    <mergeCell ref="P116:Q116"/>
    <mergeCell ref="K116:L116"/>
    <mergeCell ref="N116:O116"/>
    <mergeCell ref="Z117:AB117"/>
    <mergeCell ref="U117:V117"/>
    <mergeCell ref="U116:V116"/>
    <mergeCell ref="W116:Y116"/>
    <mergeCell ref="Z116:AB116"/>
    <mergeCell ref="Z115:AB115"/>
    <mergeCell ref="U115:V115"/>
    <mergeCell ref="W115:Y115"/>
    <mergeCell ref="Z107:AB107"/>
    <mergeCell ref="U109:V109"/>
    <mergeCell ref="W109:Y109"/>
    <mergeCell ref="Z109:AB109"/>
    <mergeCell ref="U108:V108"/>
    <mergeCell ref="W110:Y110"/>
    <mergeCell ref="U110:V110"/>
    <mergeCell ref="K79:L79"/>
    <mergeCell ref="N107:O107"/>
    <mergeCell ref="P107:Q107"/>
    <mergeCell ref="K107:L107"/>
    <mergeCell ref="N86:O86"/>
    <mergeCell ref="N91:O91"/>
    <mergeCell ref="P80:Q80"/>
    <mergeCell ref="K100:L100"/>
    <mergeCell ref="N99:O99"/>
    <mergeCell ref="N90:O90"/>
    <mergeCell ref="A34:B36"/>
    <mergeCell ref="K34:L34"/>
    <mergeCell ref="T123:U123"/>
    <mergeCell ref="A124:D128"/>
    <mergeCell ref="J126:K126"/>
    <mergeCell ref="A122:D123"/>
    <mergeCell ref="N79:O79"/>
    <mergeCell ref="P79:Q79"/>
    <mergeCell ref="N101:O101"/>
    <mergeCell ref="P101:Q101"/>
    <mergeCell ref="Z128:AB128"/>
    <mergeCell ref="W136:Y136"/>
    <mergeCell ref="Z136:AB136"/>
    <mergeCell ref="Z130:AB130"/>
    <mergeCell ref="W131:Y131"/>
    <mergeCell ref="Z131:AB131"/>
    <mergeCell ref="W130:Y130"/>
    <mergeCell ref="W134:Y134"/>
    <mergeCell ref="X132:Y132"/>
    <mergeCell ref="W135:Y135"/>
    <mergeCell ref="Z138:AB138"/>
    <mergeCell ref="T138:U138"/>
    <mergeCell ref="Z135:AB135"/>
    <mergeCell ref="W137:Y137"/>
    <mergeCell ref="Z137:AB137"/>
    <mergeCell ref="T137:U137"/>
    <mergeCell ref="T136:U136"/>
    <mergeCell ref="T139:U139"/>
    <mergeCell ref="W139:Y139"/>
    <mergeCell ref="T140:U140"/>
    <mergeCell ref="W138:Y138"/>
    <mergeCell ref="W140:Y140"/>
    <mergeCell ref="T145:U145"/>
    <mergeCell ref="W145:Y145"/>
    <mergeCell ref="Z149:AB149"/>
    <mergeCell ref="Z146:AB146"/>
    <mergeCell ref="Z148:AB148"/>
    <mergeCell ref="T130:U130"/>
    <mergeCell ref="T131:U131"/>
    <mergeCell ref="T134:U134"/>
    <mergeCell ref="T135:U135"/>
    <mergeCell ref="W157:Y157"/>
    <mergeCell ref="W155:Y155"/>
    <mergeCell ref="L146:N146"/>
    <mergeCell ref="W146:Y146"/>
    <mergeCell ref="T146:U146"/>
    <mergeCell ref="O152:Q154"/>
    <mergeCell ref="L152:N152"/>
    <mergeCell ref="W147:Y147"/>
    <mergeCell ref="W149:Y149"/>
    <mergeCell ref="T148:U148"/>
    <mergeCell ref="T158:U158"/>
    <mergeCell ref="T160:U160"/>
    <mergeCell ref="W160:Y160"/>
    <mergeCell ref="Z159:AB159"/>
    <mergeCell ref="W159:Y159"/>
    <mergeCell ref="T159:U159"/>
    <mergeCell ref="Z158:AB158"/>
    <mergeCell ref="AM55:AN55"/>
    <mergeCell ref="AM56:AN56"/>
    <mergeCell ref="AM93:AN93"/>
    <mergeCell ref="Z141:AB141"/>
    <mergeCell ref="Z139:AB139"/>
    <mergeCell ref="Z140:AB140"/>
    <mergeCell ref="Z134:AB134"/>
    <mergeCell ref="Z129:AB129"/>
    <mergeCell ref="Z125:AB125"/>
    <mergeCell ref="Z124:AB124"/>
    <mergeCell ref="AM155:AN156"/>
    <mergeCell ref="T152:U152"/>
    <mergeCell ref="W152:Y152"/>
    <mergeCell ref="Z152:AB152"/>
    <mergeCell ref="T153:U153"/>
    <mergeCell ref="W154:Y154"/>
    <mergeCell ref="T154:U154"/>
    <mergeCell ref="Z156:AB156"/>
    <mergeCell ref="T155:U155"/>
    <mergeCell ref="W156:Y156"/>
    <mergeCell ref="T141:U141"/>
    <mergeCell ref="T142:U142"/>
    <mergeCell ref="T144:U144"/>
    <mergeCell ref="AE155:AE156"/>
    <mergeCell ref="W148:Y148"/>
    <mergeCell ref="T149:U149"/>
    <mergeCell ref="W142:Y142"/>
    <mergeCell ref="T143:U143"/>
    <mergeCell ref="B151:AB151"/>
    <mergeCell ref="I146:J146"/>
    <mergeCell ref="A141:B142"/>
    <mergeCell ref="I142:J142"/>
    <mergeCell ref="L142:N142"/>
    <mergeCell ref="L141:N141"/>
    <mergeCell ref="A130:D131"/>
    <mergeCell ref="A136:D137"/>
    <mergeCell ref="I138:J138"/>
    <mergeCell ref="A132:D132"/>
    <mergeCell ref="E132:G132"/>
    <mergeCell ref="J132:K132"/>
    <mergeCell ref="J135:K135"/>
    <mergeCell ref="I152:J152"/>
    <mergeCell ref="L154:N154"/>
    <mergeCell ref="L153:N153"/>
    <mergeCell ref="I153:J153"/>
    <mergeCell ref="I154:J154"/>
    <mergeCell ref="I145:J145"/>
    <mergeCell ref="N132:P132"/>
    <mergeCell ref="L139:N139"/>
    <mergeCell ref="I141:J141"/>
    <mergeCell ref="I140:J140"/>
    <mergeCell ref="L138:N138"/>
    <mergeCell ref="L140:N140"/>
    <mergeCell ref="I139:J139"/>
    <mergeCell ref="U203:V203"/>
    <mergeCell ref="U208:V208"/>
    <mergeCell ref="O209:P209"/>
    <mergeCell ref="U209:V209"/>
    <mergeCell ref="U200:V200"/>
    <mergeCell ref="S201:T201"/>
    <mergeCell ref="U201:V201"/>
    <mergeCell ref="L200:M200"/>
    <mergeCell ref="O200:P200"/>
    <mergeCell ref="Q213:R213"/>
    <mergeCell ref="Q210:R210"/>
    <mergeCell ref="B210:C214"/>
    <mergeCell ref="L214:M214"/>
    <mergeCell ref="O214:P214"/>
    <mergeCell ref="L212:M212"/>
    <mergeCell ref="O212:P212"/>
    <mergeCell ref="L213:M213"/>
    <mergeCell ref="O213:P213"/>
    <mergeCell ref="L210:M210"/>
    <mergeCell ref="S199:T199"/>
    <mergeCell ref="L198:M198"/>
    <mergeCell ref="O198:P198"/>
    <mergeCell ref="Q212:R212"/>
    <mergeCell ref="L209:M209"/>
    <mergeCell ref="O210:P210"/>
    <mergeCell ref="S210:T210"/>
    <mergeCell ref="S198:T198"/>
    <mergeCell ref="L211:M211"/>
    <mergeCell ref="O211:P211"/>
    <mergeCell ref="S211:T211"/>
    <mergeCell ref="U211:V211"/>
    <mergeCell ref="Q211:R211"/>
    <mergeCell ref="Z208:AB209"/>
    <mergeCell ref="W210:Y210"/>
    <mergeCell ref="Z210:AB210"/>
    <mergeCell ref="S212:T212"/>
    <mergeCell ref="U212:V212"/>
    <mergeCell ref="W212:Y212"/>
    <mergeCell ref="Z212:AB212"/>
    <mergeCell ref="W211:Y211"/>
    <mergeCell ref="Z211:AB211"/>
    <mergeCell ref="U210:V210"/>
    <mergeCell ref="Q216:R216"/>
    <mergeCell ref="W214:Y214"/>
    <mergeCell ref="Z214:AB214"/>
    <mergeCell ref="W213:Y213"/>
    <mergeCell ref="Z213:AB213"/>
    <mergeCell ref="S213:T213"/>
    <mergeCell ref="U213:V213"/>
    <mergeCell ref="Q215:R215"/>
    <mergeCell ref="Q214:R214"/>
    <mergeCell ref="S214:T214"/>
    <mergeCell ref="L215:M215"/>
    <mergeCell ref="O215:P215"/>
    <mergeCell ref="S215:T215"/>
    <mergeCell ref="U215:V215"/>
    <mergeCell ref="Z217:AB217"/>
    <mergeCell ref="U214:V214"/>
    <mergeCell ref="W216:Y216"/>
    <mergeCell ref="Z216:AB216"/>
    <mergeCell ref="L216:M216"/>
    <mergeCell ref="O216:P216"/>
    <mergeCell ref="L217:M217"/>
    <mergeCell ref="O217:P217"/>
    <mergeCell ref="S217:T217"/>
    <mergeCell ref="U217:V217"/>
    <mergeCell ref="S216:T216"/>
    <mergeCell ref="U216:V216"/>
    <mergeCell ref="L219:M219"/>
    <mergeCell ref="O219:P219"/>
    <mergeCell ref="S219:T219"/>
    <mergeCell ref="U219:V219"/>
    <mergeCell ref="L218:M218"/>
    <mergeCell ref="O218:P218"/>
    <mergeCell ref="S218:T218"/>
    <mergeCell ref="U218:V218"/>
    <mergeCell ref="Q218:R218"/>
    <mergeCell ref="L220:M220"/>
    <mergeCell ref="O220:P220"/>
    <mergeCell ref="S220:T220"/>
    <mergeCell ref="U220:V220"/>
    <mergeCell ref="Q220:R220"/>
    <mergeCell ref="W224:Y224"/>
    <mergeCell ref="Z224:AB224"/>
    <mergeCell ref="L224:M224"/>
    <mergeCell ref="O224:P224"/>
    <mergeCell ref="S224:T224"/>
    <mergeCell ref="U224:V224"/>
    <mergeCell ref="Z227:AB227"/>
    <mergeCell ref="Z228:AB228"/>
    <mergeCell ref="Z225:AB225"/>
    <mergeCell ref="Z226:AB226"/>
    <mergeCell ref="L221:M221"/>
    <mergeCell ref="O221:P221"/>
    <mergeCell ref="S221:T221"/>
    <mergeCell ref="U221:V221"/>
    <mergeCell ref="Q221:R221"/>
    <mergeCell ref="O222:P222"/>
    <mergeCell ref="S222:T222"/>
    <mergeCell ref="L223:M223"/>
    <mergeCell ref="O223:P223"/>
    <mergeCell ref="S223:T223"/>
    <mergeCell ref="L222:M222"/>
    <mergeCell ref="U223:V223"/>
    <mergeCell ref="W222:Y222"/>
    <mergeCell ref="Z222:AB222"/>
    <mergeCell ref="W221:Y221"/>
    <mergeCell ref="Z221:AB221"/>
    <mergeCell ref="U222:V222"/>
    <mergeCell ref="W223:Y223"/>
    <mergeCell ref="Z223:AB223"/>
    <mergeCell ref="W198:Y198"/>
    <mergeCell ref="W220:Y220"/>
    <mergeCell ref="Z220:AB220"/>
    <mergeCell ref="W218:Y218"/>
    <mergeCell ref="Z218:AB218"/>
    <mergeCell ref="W219:Y219"/>
    <mergeCell ref="Z219:AB219"/>
    <mergeCell ref="W215:Y215"/>
    <mergeCell ref="Z215:AB215"/>
    <mergeCell ref="W217:Y217"/>
    <mergeCell ref="T147:U147"/>
    <mergeCell ref="L145:N145"/>
    <mergeCell ref="W161:Y161"/>
    <mergeCell ref="Z161:AB161"/>
    <mergeCell ref="Z160:AB160"/>
    <mergeCell ref="W158:Y158"/>
    <mergeCell ref="Z154:AB154"/>
    <mergeCell ref="Z155:AB155"/>
    <mergeCell ref="Z157:AB157"/>
    <mergeCell ref="T161:U161"/>
    <mergeCell ref="B215:C219"/>
    <mergeCell ref="B188:C192"/>
    <mergeCell ref="B193:C197"/>
    <mergeCell ref="A207:AB207"/>
    <mergeCell ref="A208:A209"/>
    <mergeCell ref="B208:G209"/>
    <mergeCell ref="L208:P208"/>
    <mergeCell ref="W208:Y209"/>
    <mergeCell ref="L199:M199"/>
    <mergeCell ref="O199:P199"/>
    <mergeCell ref="W141:Y141"/>
    <mergeCell ref="W153:Y153"/>
    <mergeCell ref="Z153:AB153"/>
    <mergeCell ref="W144:Y144"/>
    <mergeCell ref="Z143:AB143"/>
    <mergeCell ref="Z142:AB142"/>
    <mergeCell ref="Z144:AB144"/>
    <mergeCell ref="Z145:AB145"/>
    <mergeCell ref="Z147:AB147"/>
    <mergeCell ref="W143:Y14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2" r:id="rId4"/>
  <rowBreaks count="3" manualBreakCount="3">
    <brk id="60" max="27" man="1"/>
    <brk id="120" max="27" man="1"/>
    <brk id="183" max="2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BJ120"/>
  <sheetViews>
    <sheetView zoomScaleSheetLayoutView="100" workbookViewId="0" topLeftCell="A1">
      <selection activeCell="X10" sqref="X10"/>
    </sheetView>
  </sheetViews>
  <sheetFormatPr defaultColWidth="8.88671875" defaultRowHeight="13.5"/>
  <cols>
    <col min="1" max="9" width="2.77734375" style="1" customWidth="1"/>
    <col min="10" max="10" width="2.3359375" style="1" bestFit="1" customWidth="1"/>
    <col min="11" max="12" width="2.77734375" style="1" customWidth="1"/>
    <col min="13" max="13" width="3.3359375" style="1" customWidth="1"/>
    <col min="14" max="19" width="2.77734375" style="1" customWidth="1"/>
    <col min="20" max="20" width="3.3359375" style="1" customWidth="1"/>
    <col min="21" max="29" width="2.77734375" style="1" customWidth="1"/>
    <col min="30" max="30" width="3.3359375" style="1" customWidth="1"/>
    <col min="31" max="78" width="2.77734375" style="1" customWidth="1"/>
    <col min="79" max="16384" width="8.88671875" style="1" customWidth="1"/>
  </cols>
  <sheetData>
    <row r="1" spans="1:28" ht="12.75" customHeight="1">
      <c r="A1" s="371" t="s">
        <v>261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</row>
    <row r="2" spans="1:39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F2" s="64" t="s">
        <v>291</v>
      </c>
      <c r="AM2" s="64" t="s">
        <v>292</v>
      </c>
    </row>
    <row r="3" spans="1:39" ht="12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F3" s="66" t="s">
        <v>595</v>
      </c>
      <c r="AG3" s="65"/>
      <c r="AH3" s="65"/>
      <c r="AI3" s="65"/>
      <c r="AJ3" s="65"/>
      <c r="AK3" s="65"/>
      <c r="AM3" s="67" t="s">
        <v>293</v>
      </c>
    </row>
    <row r="4" spans="1:52" ht="12.75" customHeight="1">
      <c r="A4" s="31" t="s">
        <v>262</v>
      </c>
      <c r="B4" s="31"/>
      <c r="C4" s="31"/>
      <c r="D4" s="31"/>
      <c r="E4" s="45" t="str">
        <f aca="true" t="shared" si="0" ref="E4:E9">AF4</f>
        <v>P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5" t="s">
        <v>269</v>
      </c>
      <c r="V4" s="31"/>
      <c r="W4" s="36"/>
      <c r="X4" s="392" t="str">
        <f>AK6</f>
        <v>2020.   1.   10.</v>
      </c>
      <c r="Y4" s="392"/>
      <c r="Z4" s="392"/>
      <c r="AA4" s="392"/>
      <c r="AB4" s="392"/>
      <c r="AF4" s="1" t="str">
        <f aca="true" t="shared" si="1" ref="AF4:AF9">data_file($AF$3,$AM$3,AM4,AN4)</f>
        <v>P</v>
      </c>
      <c r="AM4" s="67">
        <v>3</v>
      </c>
      <c r="AN4" s="67">
        <v>5</v>
      </c>
      <c r="AY4" s="5"/>
      <c r="AZ4" s="5"/>
    </row>
    <row r="5" spans="1:40" ht="12.75" customHeight="1">
      <c r="A5" s="32" t="s">
        <v>263</v>
      </c>
      <c r="B5" s="32"/>
      <c r="C5" s="32"/>
      <c r="D5" s="32"/>
      <c r="E5" s="46" t="str">
        <f t="shared" si="0"/>
        <v>A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7" t="s">
        <v>270</v>
      </c>
      <c r="V5" s="32"/>
      <c r="W5" s="38"/>
      <c r="X5" s="699">
        <f>AK7</f>
        <v>0</v>
      </c>
      <c r="Y5" s="699"/>
      <c r="Z5" s="699"/>
      <c r="AA5" s="699"/>
      <c r="AB5" s="699"/>
      <c r="AC5" s="3"/>
      <c r="AD5" s="4"/>
      <c r="AE5" s="4"/>
      <c r="AF5" s="1" t="str">
        <f t="shared" si="1"/>
        <v>A</v>
      </c>
      <c r="AM5" s="1">
        <f aca="true" t="shared" si="2" ref="AM5:AM10">AM4+1</f>
        <v>4</v>
      </c>
      <c r="AN5" s="1">
        <f>AN4</f>
        <v>5</v>
      </c>
    </row>
    <row r="6" spans="1:44" ht="12.75" customHeight="1">
      <c r="A6" s="32" t="s">
        <v>264</v>
      </c>
      <c r="B6" s="32"/>
      <c r="C6" s="32"/>
      <c r="D6" s="32"/>
      <c r="E6" s="46" t="str">
        <f t="shared" si="0"/>
        <v>B</v>
      </c>
      <c r="F6" s="32"/>
      <c r="G6" s="32"/>
      <c r="H6" s="32"/>
      <c r="I6" s="32"/>
      <c r="J6" s="32"/>
      <c r="K6" s="32"/>
      <c r="L6" s="32"/>
      <c r="M6" s="32"/>
      <c r="N6" s="50" t="s">
        <v>277</v>
      </c>
      <c r="O6" s="32"/>
      <c r="P6" s="32"/>
      <c r="Q6" s="32"/>
      <c r="R6" s="51" t="s">
        <v>278</v>
      </c>
      <c r="S6" s="32"/>
      <c r="T6" s="32"/>
      <c r="U6" s="37" t="s">
        <v>267</v>
      </c>
      <c r="V6" s="32"/>
      <c r="W6" s="38"/>
      <c r="X6" s="327" t="s">
        <v>294</v>
      </c>
      <c r="Y6" s="327"/>
      <c r="Z6" s="327"/>
      <c r="AA6" s="327"/>
      <c r="AB6" s="327"/>
      <c r="AC6" s="3"/>
      <c r="AE6" s="4"/>
      <c r="AF6" s="1" t="str">
        <f t="shared" si="1"/>
        <v>B</v>
      </c>
      <c r="AK6" s="1" t="str">
        <f>data_file($AF$3,$AM$3,AM6,AR6)</f>
        <v>2020.   1.   10.</v>
      </c>
      <c r="AM6" s="1">
        <f t="shared" si="2"/>
        <v>5</v>
      </c>
      <c r="AN6" s="1">
        <f>AN4</f>
        <v>5</v>
      </c>
      <c r="AR6" s="67">
        <v>18</v>
      </c>
    </row>
    <row r="7" spans="1:44" ht="12.75" customHeight="1">
      <c r="A7" s="33" t="s">
        <v>265</v>
      </c>
      <c r="B7" s="33"/>
      <c r="C7" s="33"/>
      <c r="D7" s="33"/>
      <c r="E7" s="47" t="str">
        <f t="shared" si="0"/>
        <v>ASME</v>
      </c>
      <c r="F7" s="33"/>
      <c r="G7" s="33"/>
      <c r="H7" s="33"/>
      <c r="I7" s="33"/>
      <c r="J7" s="33"/>
      <c r="K7" s="33"/>
      <c r="L7" s="33"/>
      <c r="M7" s="33"/>
      <c r="N7" s="47" t="str">
        <f>AI7</f>
        <v>No</v>
      </c>
      <c r="O7" s="33"/>
      <c r="P7" s="48"/>
      <c r="Q7" s="33"/>
      <c r="R7" s="701">
        <f>Q119</f>
        <v>0</v>
      </c>
      <c r="S7" s="701"/>
      <c r="T7" s="702"/>
      <c r="U7" s="39" t="s">
        <v>268</v>
      </c>
      <c r="V7" s="33"/>
      <c r="W7" s="40"/>
      <c r="X7" s="41">
        <v>0</v>
      </c>
      <c r="Y7" s="43"/>
      <c r="Z7" s="43"/>
      <c r="AA7" s="43"/>
      <c r="AB7" s="44"/>
      <c r="AC7" s="6"/>
      <c r="AF7" s="1" t="str">
        <f t="shared" si="1"/>
        <v>ASME</v>
      </c>
      <c r="AI7" s="1" t="str">
        <f>data_file($AF$3,$AM$3,AM7,AP7)</f>
        <v>No</v>
      </c>
      <c r="AK7" s="1">
        <f>data_file($AF$3,$AM$3,AM7,AR7)</f>
        <v>0</v>
      </c>
      <c r="AM7" s="1">
        <f t="shared" si="2"/>
        <v>6</v>
      </c>
      <c r="AN7" s="1">
        <f>AN4</f>
        <v>5</v>
      </c>
      <c r="AP7" s="67">
        <v>14</v>
      </c>
      <c r="AR7" s="1">
        <f>AR6</f>
        <v>18</v>
      </c>
    </row>
    <row r="8" spans="1:61" ht="12.75" customHeight="1">
      <c r="A8" s="31" t="s">
        <v>266</v>
      </c>
      <c r="B8" s="31"/>
      <c r="C8" s="31"/>
      <c r="D8" s="31"/>
      <c r="E8" s="45" t="str">
        <f t="shared" si="0"/>
        <v>H/E Name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273</v>
      </c>
      <c r="V8" s="31"/>
      <c r="W8" s="31"/>
      <c r="X8" s="392" t="str">
        <f>AI8</f>
        <v>Later</v>
      </c>
      <c r="Y8" s="392"/>
      <c r="Z8" s="392"/>
      <c r="AA8" s="392"/>
      <c r="AB8" s="392"/>
      <c r="AC8" s="6"/>
      <c r="AF8" s="1" t="str">
        <f t="shared" si="1"/>
        <v>H/E Name</v>
      </c>
      <c r="AI8" s="1" t="str">
        <f>data_file($AF$3,$AM$3,AM8,AP8)</f>
        <v>Later</v>
      </c>
      <c r="AM8" s="1">
        <f t="shared" si="2"/>
        <v>7</v>
      </c>
      <c r="AN8" s="1">
        <f>AN4</f>
        <v>5</v>
      </c>
      <c r="AP8" s="67">
        <v>18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12.75" customHeight="1">
      <c r="A9" s="32" t="s">
        <v>271</v>
      </c>
      <c r="B9" s="32"/>
      <c r="C9" s="32"/>
      <c r="D9" s="32"/>
      <c r="E9" s="46" t="str">
        <f t="shared" si="0"/>
        <v>Shell 600 ID x 5800 Length,Eff.</v>
      </c>
      <c r="F9" s="32"/>
      <c r="G9" s="32"/>
      <c r="H9" s="32"/>
      <c r="I9" s="32"/>
      <c r="J9" s="32"/>
      <c r="K9" s="32"/>
      <c r="L9" s="32" t="s">
        <v>272</v>
      </c>
      <c r="M9" s="32"/>
      <c r="N9" s="46" t="str">
        <f>AI9</f>
        <v>B E M</v>
      </c>
      <c r="O9" s="32"/>
      <c r="P9" s="32"/>
      <c r="Q9" s="32"/>
      <c r="R9" s="32"/>
      <c r="S9" s="32"/>
      <c r="T9" s="32"/>
      <c r="U9" s="32" t="s">
        <v>274</v>
      </c>
      <c r="V9" s="32"/>
      <c r="W9" s="32"/>
      <c r="X9" s="32"/>
      <c r="Y9" s="32"/>
      <c r="Z9" s="34">
        <f>AK9</f>
        <v>1</v>
      </c>
      <c r="AA9" s="32" t="s">
        <v>276</v>
      </c>
      <c r="AB9" s="32"/>
      <c r="AC9" s="6"/>
      <c r="AF9" s="1" t="str">
        <f t="shared" si="1"/>
        <v>Shell 600 ID x 5800 Length,Eff.</v>
      </c>
      <c r="AI9" s="1" t="str">
        <f>data_file($AF$3,$AM$3,AM9,AP9)</f>
        <v>B E M</v>
      </c>
      <c r="AK9" s="1">
        <f>data_file($AF$3,$AM$3,AM9,AR9)</f>
        <v>1</v>
      </c>
      <c r="AM9" s="1">
        <f t="shared" si="2"/>
        <v>8</v>
      </c>
      <c r="AN9" s="1">
        <f>AN8-1</f>
        <v>4</v>
      </c>
      <c r="AP9" s="67">
        <v>10</v>
      </c>
      <c r="AR9" s="67">
        <v>20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12.75" customHeight="1">
      <c r="A10" s="33" t="s">
        <v>346</v>
      </c>
      <c r="B10" s="33"/>
      <c r="C10" s="33"/>
      <c r="D10" s="33"/>
      <c r="E10" s="681">
        <f>AI10</f>
        <v>129.82085003838097</v>
      </c>
      <c r="F10" s="681"/>
      <c r="G10" s="33" t="s">
        <v>296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 t="s">
        <v>275</v>
      </c>
      <c r="V10" s="33"/>
      <c r="W10" s="33"/>
      <c r="X10" s="33"/>
      <c r="Y10" s="33"/>
      <c r="Z10" s="49">
        <f>AK10</f>
        <v>1</v>
      </c>
      <c r="AA10" s="33" t="str">
        <f>AA9</f>
        <v>set(s)</v>
      </c>
      <c r="AB10" s="33"/>
      <c r="AI10" s="1">
        <f>data_file($AF$3,$AM$3,AM10,AP10)</f>
        <v>129.82085003838097</v>
      </c>
      <c r="AK10" s="1">
        <f>data_file($AF$3,$AM$3,AM10,AR10)</f>
        <v>1</v>
      </c>
      <c r="AM10" s="1">
        <f t="shared" si="2"/>
        <v>9</v>
      </c>
      <c r="AP10" s="67">
        <v>14</v>
      </c>
      <c r="AR10" s="67">
        <v>11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2.75" customHeight="1">
      <c r="A11" s="78">
        <v>1</v>
      </c>
      <c r="B11" s="727" t="s">
        <v>480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5"/>
      <c r="BF11" s="5"/>
      <c r="BG11" s="5"/>
      <c r="BH11" s="5"/>
      <c r="BI11" s="5"/>
    </row>
    <row r="12" spans="1:61" ht="12.75" customHeight="1">
      <c r="A12" s="372" t="s">
        <v>481</v>
      </c>
      <c r="B12" s="372"/>
      <c r="C12" s="372"/>
      <c r="D12" s="372"/>
      <c r="E12" s="372"/>
      <c r="F12" s="374" t="s">
        <v>482</v>
      </c>
      <c r="G12" s="372"/>
      <c r="H12" s="372"/>
      <c r="I12" s="372"/>
      <c r="J12" s="375"/>
      <c r="K12" s="318" t="s">
        <v>483</v>
      </c>
      <c r="L12" s="318"/>
      <c r="M12" s="318"/>
      <c r="N12" s="318"/>
      <c r="O12" s="318"/>
      <c r="P12" s="374" t="s">
        <v>484</v>
      </c>
      <c r="Q12" s="375"/>
      <c r="R12" s="649" t="s">
        <v>485</v>
      </c>
      <c r="S12" s="650"/>
      <c r="T12" s="650"/>
      <c r="U12" s="650"/>
      <c r="V12" s="651"/>
      <c r="W12" s="394" t="s">
        <v>486</v>
      </c>
      <c r="X12" s="394"/>
      <c r="Y12" s="394"/>
      <c r="Z12" s="462" t="s">
        <v>487</v>
      </c>
      <c r="AA12" s="394"/>
      <c r="AB12" s="394"/>
      <c r="BF12" s="5"/>
      <c r="BG12" s="5"/>
      <c r="BH12" s="5"/>
      <c r="BI12" s="5"/>
    </row>
    <row r="13" spans="1:61" ht="12.75" customHeight="1">
      <c r="A13" s="373"/>
      <c r="B13" s="373"/>
      <c r="C13" s="373"/>
      <c r="D13" s="373"/>
      <c r="E13" s="373"/>
      <c r="F13" s="376"/>
      <c r="G13" s="373"/>
      <c r="H13" s="373"/>
      <c r="I13" s="373"/>
      <c r="J13" s="377"/>
      <c r="K13" s="693" t="s">
        <v>488</v>
      </c>
      <c r="L13" s="470"/>
      <c r="M13" s="56" t="s">
        <v>489</v>
      </c>
      <c r="N13" s="470" t="s">
        <v>490</v>
      </c>
      <c r="O13" s="588"/>
      <c r="P13" s="376"/>
      <c r="Q13" s="377"/>
      <c r="R13" s="471" t="s">
        <v>479</v>
      </c>
      <c r="S13" s="652"/>
      <c r="T13" s="42" t="s">
        <v>491</v>
      </c>
      <c r="U13" s="652" t="s">
        <v>492</v>
      </c>
      <c r="V13" s="653"/>
      <c r="W13" s="397"/>
      <c r="X13" s="397"/>
      <c r="Y13" s="397"/>
      <c r="Z13" s="463"/>
      <c r="AA13" s="397"/>
      <c r="AB13" s="397"/>
      <c r="AC13" s="6"/>
      <c r="AH13" s="198" t="s">
        <v>493</v>
      </c>
      <c r="BF13" s="5"/>
      <c r="BG13" s="5"/>
      <c r="BH13" s="5"/>
      <c r="BI13" s="5"/>
    </row>
    <row r="14" spans="1:61" ht="12.75" customHeight="1">
      <c r="A14" s="390" t="s">
        <v>494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6"/>
      <c r="AD14" s="62" t="s">
        <v>495</v>
      </c>
      <c r="AF14" s="186" t="s">
        <v>581</v>
      </c>
      <c r="AH14" s="1" t="e">
        <f>IF(data_file($AF$3,$AM$3,AI14,AJ14)="???","",data_file($AF$3,$AM$3,AI14,AJ14))</f>
        <v>#VALUE!</v>
      </c>
      <c r="AI14" s="67">
        <v>0</v>
      </c>
      <c r="AJ14" s="67">
        <v>0</v>
      </c>
      <c r="AK14" s="1" t="e">
        <f>IF(AH15&lt;&gt;"ASME","","S")</f>
        <v>#VALUE!</v>
      </c>
      <c r="AM14" s="1" t="s">
        <v>577</v>
      </c>
      <c r="AO14" s="1" t="s">
        <v>578</v>
      </c>
      <c r="AP14" s="1" t="s">
        <v>579</v>
      </c>
      <c r="AQ14" s="1" t="s">
        <v>580</v>
      </c>
      <c r="BF14" s="5"/>
      <c r="BG14" s="5"/>
      <c r="BH14" s="5"/>
      <c r="BI14" s="5"/>
    </row>
    <row r="15" spans="1:60" ht="12.75" customHeight="1">
      <c r="A15" s="32"/>
      <c r="B15" s="32"/>
      <c r="C15" s="32"/>
      <c r="D15" s="32"/>
      <c r="E15" s="32"/>
      <c r="F15" s="58" t="e">
        <f>IF(P15&lt;=0,"***"," "&amp;$AH$14&amp;AK15)</f>
        <v>#VALUE!</v>
      </c>
      <c r="G15" s="32"/>
      <c r="H15" s="89"/>
      <c r="I15" s="32"/>
      <c r="J15" s="59"/>
      <c r="K15" s="539" t="e">
        <f>IF(P15&lt;=0,"***",AM15)</f>
        <v>#VALUE!</v>
      </c>
      <c r="L15" s="554"/>
      <c r="M15" s="60" t="e">
        <f>IF(P15&lt;=0,"***",AO15)</f>
        <v>#VALUE!</v>
      </c>
      <c r="N15" s="412" t="e">
        <f>IF(P15&lt;=0,"***",AP15)</f>
        <v>#VALUE!</v>
      </c>
      <c r="O15" s="540"/>
      <c r="P15" s="423" t="e">
        <f>AQ15</f>
        <v>#VALUE!</v>
      </c>
      <c r="Q15" s="422"/>
      <c r="R15" s="539" t="e">
        <f>IF(P15&lt;=0,PI()/4*(K15^2-(K15-2*M15)^2)*N15/10^9*P15*AD15*1000)</f>
        <v>#VALUE!</v>
      </c>
      <c r="S15" s="554"/>
      <c r="T15" s="61">
        <v>1</v>
      </c>
      <c r="U15" s="412" t="e">
        <f aca="true" t="shared" si="3" ref="U15:U40">R15*T15</f>
        <v>#VALUE!</v>
      </c>
      <c r="V15" s="540"/>
      <c r="W15" s="378" t="e">
        <f>IF(P15&lt;=0,0,AH18)</f>
        <v>#VALUE!</v>
      </c>
      <c r="X15" s="379"/>
      <c r="Y15" s="380"/>
      <c r="Z15" s="412" t="e">
        <f aca="true" t="shared" si="4" ref="Z15:Z40">U15*W15</f>
        <v>#VALUE!</v>
      </c>
      <c r="AA15" s="379"/>
      <c r="AB15" s="379"/>
      <c r="AC15" s="69"/>
      <c r="AD15" s="69" t="e">
        <f>mindex(AK15,-1)</f>
        <v>#VALUE!</v>
      </c>
      <c r="AE15" s="69"/>
      <c r="AF15" s="2" t="s">
        <v>448</v>
      </c>
      <c r="AG15" s="69"/>
      <c r="AH15" s="69" t="e">
        <f>data_file($AF$3,AM3,AS15,AT15)</f>
        <v>#VALUE!</v>
      </c>
      <c r="AI15" s="69" t="e">
        <f>data_file($AF$3,AM3,AU15,AV15)</f>
        <v>#VALUE!</v>
      </c>
      <c r="AJ15" s="69"/>
      <c r="AK15" s="69" t="e">
        <f>data_file($AF$3,AM3,AW15,AX15)</f>
        <v>#VALUE!</v>
      </c>
      <c r="AL15" s="69"/>
      <c r="AM15" s="69" t="e">
        <f>data_file($AF$3,AM3,AY15,AZ15)</f>
        <v>#VALUE!</v>
      </c>
      <c r="AN15" s="69"/>
      <c r="AO15" s="69" t="e">
        <f>data_file($AF$3,AM3,BC15,BD15)</f>
        <v>#VALUE!</v>
      </c>
      <c r="AP15" s="69" t="e">
        <f>data_file($AF$3,AM3,BE15,BF15)</f>
        <v>#VALUE!</v>
      </c>
      <c r="AQ15" s="69" t="e">
        <f>data_file($AF$3,AM3,BG15,BH15)</f>
        <v>#VALUE!</v>
      </c>
      <c r="AR15" s="69"/>
      <c r="AS15" s="79">
        <v>0</v>
      </c>
      <c r="AT15" s="79">
        <v>0</v>
      </c>
      <c r="AU15" s="69">
        <f>AS15</f>
        <v>0</v>
      </c>
      <c r="AV15" s="69">
        <f>AT15+2</f>
        <v>2</v>
      </c>
      <c r="AW15" s="69">
        <f>AU15</f>
        <v>0</v>
      </c>
      <c r="AX15" s="69">
        <f>AV15+2</f>
        <v>4</v>
      </c>
      <c r="AY15" s="69">
        <f>AS15</f>
        <v>0</v>
      </c>
      <c r="AZ15" s="79">
        <v>0</v>
      </c>
      <c r="BA15" s="69"/>
      <c r="BB15" s="69"/>
      <c r="BC15" s="69">
        <f>AY15</f>
        <v>0</v>
      </c>
      <c r="BD15" s="69">
        <f>AZ15+2</f>
        <v>2</v>
      </c>
      <c r="BE15" s="69">
        <f>BC15</f>
        <v>0</v>
      </c>
      <c r="BF15" s="69">
        <f>BD15+2</f>
        <v>4</v>
      </c>
      <c r="BG15" s="69">
        <f>BE15</f>
        <v>0</v>
      </c>
      <c r="BH15" s="69">
        <f>BF15+2</f>
        <v>6</v>
      </c>
    </row>
    <row r="16" spans="1:59" ht="12.75" customHeight="1">
      <c r="A16" s="32"/>
      <c r="B16" s="32"/>
      <c r="C16" s="32"/>
      <c r="D16" s="32"/>
      <c r="E16" s="32"/>
      <c r="F16" s="58"/>
      <c r="G16" s="32"/>
      <c r="H16" s="89"/>
      <c r="I16" s="32"/>
      <c r="J16" s="59"/>
      <c r="K16" s="539"/>
      <c r="L16" s="554"/>
      <c r="M16" s="60"/>
      <c r="N16" s="412"/>
      <c r="O16" s="540"/>
      <c r="P16" s="423"/>
      <c r="Q16" s="422"/>
      <c r="R16" s="539"/>
      <c r="S16" s="554"/>
      <c r="T16" s="61">
        <v>1</v>
      </c>
      <c r="U16" s="412">
        <f t="shared" si="3"/>
        <v>0</v>
      </c>
      <c r="V16" s="540"/>
      <c r="W16" s="381"/>
      <c r="X16" s="382"/>
      <c r="Y16" s="383"/>
      <c r="Z16" s="412">
        <f t="shared" si="4"/>
        <v>0</v>
      </c>
      <c r="AA16" s="379"/>
      <c r="AB16" s="379"/>
      <c r="AC16" s="2"/>
      <c r="AD16" s="2"/>
      <c r="AE16" s="2"/>
      <c r="AF16" s="2"/>
      <c r="AG16" s="2"/>
      <c r="AH16" s="2"/>
      <c r="AI16" s="2"/>
      <c r="AJ16" s="2"/>
      <c r="AK16" s="2"/>
      <c r="AL16" s="2"/>
      <c r="BF16" s="2"/>
      <c r="BG16" s="2"/>
    </row>
    <row r="17" spans="1:59" ht="12.75" customHeight="1">
      <c r="A17" s="32"/>
      <c r="B17" s="32"/>
      <c r="C17" s="32"/>
      <c r="D17" s="32"/>
      <c r="E17" s="32"/>
      <c r="F17" s="58"/>
      <c r="G17" s="32"/>
      <c r="H17" s="89"/>
      <c r="I17" s="32"/>
      <c r="J17" s="59"/>
      <c r="K17" s="539"/>
      <c r="L17" s="554"/>
      <c r="M17" s="60"/>
      <c r="N17" s="412"/>
      <c r="O17" s="540"/>
      <c r="P17" s="423"/>
      <c r="Q17" s="422"/>
      <c r="R17" s="539"/>
      <c r="S17" s="554"/>
      <c r="T17" s="61">
        <v>1</v>
      </c>
      <c r="U17" s="412">
        <f t="shared" si="3"/>
        <v>0</v>
      </c>
      <c r="V17" s="540"/>
      <c r="W17" s="381"/>
      <c r="X17" s="382"/>
      <c r="Y17" s="383"/>
      <c r="Z17" s="412">
        <f t="shared" si="4"/>
        <v>0</v>
      </c>
      <c r="AA17" s="379"/>
      <c r="AB17" s="379"/>
      <c r="AC17" s="2"/>
      <c r="AD17" s="2"/>
      <c r="AE17" s="2"/>
      <c r="AF17" s="208" t="s">
        <v>584</v>
      </c>
      <c r="AG17" s="2"/>
      <c r="AH17" s="2"/>
      <c r="AI17" s="2"/>
      <c r="AJ17" s="2"/>
      <c r="AK17" s="2"/>
      <c r="AL17" s="2"/>
      <c r="BF17" s="2"/>
      <c r="BG17" s="2"/>
    </row>
    <row r="18" spans="1:59" ht="12.75" customHeight="1">
      <c r="A18" s="32"/>
      <c r="B18" s="32"/>
      <c r="C18" s="32"/>
      <c r="D18" s="32"/>
      <c r="E18" s="32"/>
      <c r="F18" s="58"/>
      <c r="G18" s="32"/>
      <c r="H18" s="89"/>
      <c r="I18" s="32"/>
      <c r="J18" s="59"/>
      <c r="K18" s="539"/>
      <c r="L18" s="554"/>
      <c r="M18" s="60"/>
      <c r="N18" s="412"/>
      <c r="O18" s="540"/>
      <c r="P18" s="423"/>
      <c r="Q18" s="422"/>
      <c r="R18" s="539"/>
      <c r="S18" s="554"/>
      <c r="T18" s="61">
        <v>1</v>
      </c>
      <c r="U18" s="412">
        <f t="shared" si="3"/>
        <v>0</v>
      </c>
      <c r="V18" s="540"/>
      <c r="W18" s="381"/>
      <c r="X18" s="382"/>
      <c r="Y18" s="383"/>
      <c r="Z18" s="412">
        <f t="shared" si="4"/>
        <v>0</v>
      </c>
      <c r="AA18" s="379"/>
      <c r="AB18" s="379"/>
      <c r="AC18" s="2"/>
      <c r="AD18" s="2"/>
      <c r="AE18" s="2"/>
      <c r="AF18" s="1" t="s">
        <v>585</v>
      </c>
      <c r="AG18" s="2"/>
      <c r="AH18" s="2" t="e">
        <f>IF(P15&lt;=0,0,cost_tube(AK15,$AF$15))</f>
        <v>#VALUE!</v>
      </c>
      <c r="AI18" s="2"/>
      <c r="AJ18" s="2"/>
      <c r="AK18" s="2"/>
      <c r="AL18" s="2"/>
      <c r="BF18" s="2"/>
      <c r="BG18" s="2"/>
    </row>
    <row r="19" spans="1:59" ht="12.75" customHeight="1">
      <c r="A19" s="32"/>
      <c r="B19" s="32"/>
      <c r="C19" s="32"/>
      <c r="D19" s="32"/>
      <c r="E19" s="32"/>
      <c r="F19" s="58"/>
      <c r="G19" s="32"/>
      <c r="H19" s="89"/>
      <c r="I19" s="32"/>
      <c r="J19" s="59"/>
      <c r="K19" s="539"/>
      <c r="L19" s="554"/>
      <c r="M19" s="60"/>
      <c r="N19" s="412"/>
      <c r="O19" s="540"/>
      <c r="P19" s="423"/>
      <c r="Q19" s="422"/>
      <c r="R19" s="539"/>
      <c r="S19" s="554"/>
      <c r="T19" s="61">
        <v>1</v>
      </c>
      <c r="U19" s="412">
        <f t="shared" si="3"/>
        <v>0</v>
      </c>
      <c r="V19" s="540"/>
      <c r="W19" s="381"/>
      <c r="X19" s="382"/>
      <c r="Y19" s="383"/>
      <c r="Z19" s="412">
        <f t="shared" si="4"/>
        <v>0</v>
      </c>
      <c r="AA19" s="379"/>
      <c r="AB19" s="379"/>
      <c r="AC19" s="2"/>
      <c r="AD19" s="2"/>
      <c r="AE19" s="2"/>
      <c r="AF19" s="1" t="s">
        <v>586</v>
      </c>
      <c r="AG19" s="2"/>
      <c r="AH19" s="2" t="e">
        <f>IF(P15&lt;=0,0,cost_plate(AK15,M15,$AF$15))</f>
        <v>#VALUE!</v>
      </c>
      <c r="AI19" s="2"/>
      <c r="AJ19" s="2"/>
      <c r="AK19" s="2"/>
      <c r="AL19" s="2"/>
      <c r="BF19" s="2"/>
      <c r="BG19" s="2"/>
    </row>
    <row r="20" spans="1:59" ht="12.75" customHeight="1">
      <c r="A20" s="32"/>
      <c r="B20" s="32"/>
      <c r="C20" s="32"/>
      <c r="D20" s="32"/>
      <c r="E20" s="32"/>
      <c r="F20" s="58"/>
      <c r="G20" s="32"/>
      <c r="H20" s="89"/>
      <c r="I20" s="32"/>
      <c r="J20" s="59"/>
      <c r="K20" s="539"/>
      <c r="L20" s="554"/>
      <c r="M20" s="60"/>
      <c r="N20" s="412"/>
      <c r="O20" s="540"/>
      <c r="P20" s="423"/>
      <c r="Q20" s="422"/>
      <c r="R20" s="539"/>
      <c r="S20" s="554"/>
      <c r="T20" s="61">
        <v>1</v>
      </c>
      <c r="U20" s="412">
        <f t="shared" si="3"/>
        <v>0</v>
      </c>
      <c r="V20" s="540"/>
      <c r="W20" s="381"/>
      <c r="X20" s="382"/>
      <c r="Y20" s="383"/>
      <c r="Z20" s="412">
        <f t="shared" si="4"/>
        <v>0</v>
      </c>
      <c r="AA20" s="379"/>
      <c r="AB20" s="379"/>
      <c r="AC20" s="2"/>
      <c r="AD20" s="2"/>
      <c r="AE20" s="2"/>
      <c r="AF20" s="1" t="s">
        <v>587</v>
      </c>
      <c r="AG20" s="2"/>
      <c r="AH20" s="2" t="e">
        <f>IF(P15&lt;=0,0,cost_forging(AI15,R15/P15,$AF$15))</f>
        <v>#VALUE!</v>
      </c>
      <c r="AI20" s="2"/>
      <c r="AJ20" s="2"/>
      <c r="AK20" s="2"/>
      <c r="AL20" s="2"/>
      <c r="BF20" s="2"/>
      <c r="BG20" s="2"/>
    </row>
    <row r="21" spans="1:59" ht="12.75" customHeight="1">
      <c r="A21" s="32"/>
      <c r="B21" s="32"/>
      <c r="C21" s="32"/>
      <c r="D21" s="32"/>
      <c r="E21" s="32"/>
      <c r="F21" s="58"/>
      <c r="G21" s="32"/>
      <c r="H21" s="89"/>
      <c r="I21" s="32"/>
      <c r="J21" s="59"/>
      <c r="K21" s="539"/>
      <c r="L21" s="554"/>
      <c r="M21" s="60"/>
      <c r="N21" s="412"/>
      <c r="O21" s="540"/>
      <c r="P21" s="423"/>
      <c r="Q21" s="422"/>
      <c r="R21" s="539"/>
      <c r="S21" s="554"/>
      <c r="T21" s="61">
        <v>1</v>
      </c>
      <c r="U21" s="412">
        <f t="shared" si="3"/>
        <v>0</v>
      </c>
      <c r="V21" s="540"/>
      <c r="W21" s="381"/>
      <c r="X21" s="382"/>
      <c r="Y21" s="383"/>
      <c r="Z21" s="412">
        <f t="shared" si="4"/>
        <v>0</v>
      </c>
      <c r="AA21" s="379"/>
      <c r="AB21" s="379"/>
      <c r="AC21" s="2"/>
      <c r="AD21" s="2"/>
      <c r="AE21" s="2"/>
      <c r="AF21" s="1" t="s">
        <v>453</v>
      </c>
      <c r="AG21" s="2"/>
      <c r="AH21" s="2" t="e">
        <f>IF(P15&lt;=0,0,cost_pipe(AI15,$AF$15))</f>
        <v>#VALUE!</v>
      </c>
      <c r="AI21" s="2"/>
      <c r="AJ21" s="2"/>
      <c r="AK21" s="2"/>
      <c r="AL21" s="2"/>
      <c r="BF21" s="2"/>
      <c r="BG21" s="2"/>
    </row>
    <row r="22" spans="1:59" ht="12.75" customHeight="1">
      <c r="A22" s="32"/>
      <c r="B22" s="32"/>
      <c r="C22" s="32"/>
      <c r="D22" s="32"/>
      <c r="E22" s="32"/>
      <c r="F22" s="58"/>
      <c r="G22" s="32"/>
      <c r="H22" s="89"/>
      <c r="I22" s="32"/>
      <c r="J22" s="59"/>
      <c r="K22" s="539"/>
      <c r="L22" s="554"/>
      <c r="M22" s="60"/>
      <c r="N22" s="412"/>
      <c r="O22" s="540"/>
      <c r="P22" s="423"/>
      <c r="Q22" s="422"/>
      <c r="R22" s="539"/>
      <c r="S22" s="554"/>
      <c r="T22" s="61">
        <v>1</v>
      </c>
      <c r="U22" s="412">
        <f t="shared" si="3"/>
        <v>0</v>
      </c>
      <c r="V22" s="540"/>
      <c r="W22" s="381"/>
      <c r="X22" s="382"/>
      <c r="Y22" s="383"/>
      <c r="Z22" s="412">
        <f t="shared" si="4"/>
        <v>0</v>
      </c>
      <c r="AA22" s="379"/>
      <c r="AB22" s="379"/>
      <c r="AC22" s="2"/>
      <c r="AD22" s="2"/>
      <c r="AE22" s="2"/>
      <c r="AF22" s="1" t="s">
        <v>588</v>
      </c>
      <c r="AG22" s="2"/>
      <c r="AH22" s="2" t="e">
        <f>IF(P15&lt;=0,0,cost_flange(AK15,AJ22,AK22,$AF$15))</f>
        <v>#VALUE!</v>
      </c>
      <c r="AJ22" s="1" t="s">
        <v>582</v>
      </c>
      <c r="AK22" s="1" t="s">
        <v>583</v>
      </c>
      <c r="AL22" s="2"/>
      <c r="BF22" s="2"/>
      <c r="BG22" s="2"/>
    </row>
    <row r="23" spans="1:59" ht="12.75" customHeight="1">
      <c r="A23" s="32"/>
      <c r="B23" s="32"/>
      <c r="C23" s="32"/>
      <c r="D23" s="32"/>
      <c r="E23" s="32"/>
      <c r="F23" s="58"/>
      <c r="G23" s="32"/>
      <c r="H23" s="89"/>
      <c r="I23" s="32"/>
      <c r="J23" s="59"/>
      <c r="K23" s="539"/>
      <c r="L23" s="554"/>
      <c r="M23" s="60"/>
      <c r="N23" s="412"/>
      <c r="O23" s="540"/>
      <c r="P23" s="423"/>
      <c r="Q23" s="422"/>
      <c r="R23" s="539"/>
      <c r="S23" s="554"/>
      <c r="T23" s="61">
        <v>1</v>
      </c>
      <c r="U23" s="412">
        <f t="shared" si="3"/>
        <v>0</v>
      </c>
      <c r="V23" s="540"/>
      <c r="W23" s="381"/>
      <c r="X23" s="382"/>
      <c r="Y23" s="383"/>
      <c r="Z23" s="412">
        <f t="shared" si="4"/>
        <v>0</v>
      </c>
      <c r="AA23" s="379"/>
      <c r="AB23" s="379"/>
      <c r="AC23" s="2"/>
      <c r="AD23" s="2"/>
      <c r="AE23" s="2"/>
      <c r="AF23" s="1" t="s">
        <v>589</v>
      </c>
      <c r="AG23" s="2"/>
      <c r="AH23" s="2" t="e">
        <f>IF(P15&lt;=0,0,cost_gasket(AJ23,AK23))</f>
        <v>#VALUE!</v>
      </c>
      <c r="AJ23" s="1" t="s">
        <v>582</v>
      </c>
      <c r="AK23" s="1" t="s">
        <v>583</v>
      </c>
      <c r="AL23" s="2"/>
      <c r="BF23" s="2"/>
      <c r="BG23" s="2"/>
    </row>
    <row r="24" spans="1:59" ht="12.75" customHeight="1">
      <c r="A24" s="32"/>
      <c r="B24" s="32"/>
      <c r="C24" s="32"/>
      <c r="D24" s="32"/>
      <c r="E24" s="32"/>
      <c r="F24" s="58"/>
      <c r="G24" s="32"/>
      <c r="H24" s="89"/>
      <c r="I24" s="32"/>
      <c r="J24" s="59"/>
      <c r="K24" s="539"/>
      <c r="L24" s="554"/>
      <c r="M24" s="60"/>
      <c r="N24" s="412"/>
      <c r="O24" s="540"/>
      <c r="P24" s="423"/>
      <c r="Q24" s="422"/>
      <c r="R24" s="539"/>
      <c r="S24" s="554"/>
      <c r="T24" s="61">
        <v>1</v>
      </c>
      <c r="U24" s="412">
        <f t="shared" si="3"/>
        <v>0</v>
      </c>
      <c r="V24" s="540"/>
      <c r="W24" s="381"/>
      <c r="X24" s="382"/>
      <c r="Y24" s="383"/>
      <c r="Z24" s="412">
        <f t="shared" si="4"/>
        <v>0</v>
      </c>
      <c r="AA24" s="379"/>
      <c r="AB24" s="379"/>
      <c r="AC24" s="2"/>
      <c r="AD24" s="2"/>
      <c r="AE24" s="2"/>
      <c r="AF24" s="2"/>
      <c r="AG24" s="2"/>
      <c r="AH24" s="2"/>
      <c r="AI24" s="2"/>
      <c r="AJ24" s="2"/>
      <c r="AK24" s="2"/>
      <c r="AL24" s="2"/>
      <c r="BF24" s="2"/>
      <c r="BG24" s="2"/>
    </row>
    <row r="25" spans="1:59" ht="12.75" customHeight="1">
      <c r="A25" s="32"/>
      <c r="B25" s="32"/>
      <c r="C25" s="32"/>
      <c r="D25" s="32"/>
      <c r="E25" s="32"/>
      <c r="F25" s="58"/>
      <c r="G25" s="32"/>
      <c r="H25" s="89"/>
      <c r="I25" s="32"/>
      <c r="J25" s="59"/>
      <c r="K25" s="539"/>
      <c r="L25" s="554"/>
      <c r="M25" s="60"/>
      <c r="N25" s="412"/>
      <c r="O25" s="540"/>
      <c r="P25" s="423"/>
      <c r="Q25" s="422"/>
      <c r="R25" s="539"/>
      <c r="S25" s="554"/>
      <c r="T25" s="61">
        <v>1</v>
      </c>
      <c r="U25" s="412">
        <f t="shared" si="3"/>
        <v>0</v>
      </c>
      <c r="V25" s="540"/>
      <c r="W25" s="381"/>
      <c r="X25" s="382"/>
      <c r="Y25" s="383"/>
      <c r="Z25" s="412">
        <f t="shared" si="4"/>
        <v>0</v>
      </c>
      <c r="AA25" s="379"/>
      <c r="AB25" s="379"/>
      <c r="AC25" s="2"/>
      <c r="AD25" s="2"/>
      <c r="AE25" s="2"/>
      <c r="AF25" s="2"/>
      <c r="AG25" s="2"/>
      <c r="AH25" s="2"/>
      <c r="AI25" s="2"/>
      <c r="AJ25" s="2"/>
      <c r="AK25" s="2"/>
      <c r="AL25" s="2"/>
      <c r="BF25" s="2"/>
      <c r="BG25" s="2"/>
    </row>
    <row r="26" spans="1:59" ht="12.75" customHeight="1">
      <c r="A26" s="32"/>
      <c r="B26" s="32"/>
      <c r="C26" s="32"/>
      <c r="D26" s="32"/>
      <c r="E26" s="32"/>
      <c r="F26" s="58"/>
      <c r="G26" s="32"/>
      <c r="H26" s="89"/>
      <c r="I26" s="32"/>
      <c r="J26" s="59"/>
      <c r="K26" s="539"/>
      <c r="L26" s="554"/>
      <c r="M26" s="60"/>
      <c r="N26" s="412"/>
      <c r="O26" s="540"/>
      <c r="P26" s="423"/>
      <c r="Q26" s="422"/>
      <c r="R26" s="539"/>
      <c r="S26" s="554"/>
      <c r="T26" s="61">
        <v>1</v>
      </c>
      <c r="U26" s="412">
        <f t="shared" si="3"/>
        <v>0</v>
      </c>
      <c r="V26" s="540"/>
      <c r="W26" s="381"/>
      <c r="X26" s="382"/>
      <c r="Y26" s="383"/>
      <c r="Z26" s="412">
        <f t="shared" si="4"/>
        <v>0</v>
      </c>
      <c r="AA26" s="379"/>
      <c r="AB26" s="379"/>
      <c r="AC26" s="2"/>
      <c r="AD26" s="2"/>
      <c r="AE26" s="2"/>
      <c r="AF26" s="2"/>
      <c r="AG26" s="2"/>
      <c r="AH26" s="2"/>
      <c r="AI26" s="2"/>
      <c r="AJ26" s="2"/>
      <c r="AK26" s="2"/>
      <c r="AL26" s="2"/>
      <c r="BF26" s="2"/>
      <c r="BG26" s="2"/>
    </row>
    <row r="27" spans="1:59" ht="12.75" customHeight="1">
      <c r="A27" s="32"/>
      <c r="B27" s="32"/>
      <c r="C27" s="32"/>
      <c r="D27" s="32"/>
      <c r="E27" s="32"/>
      <c r="F27" s="58"/>
      <c r="G27" s="32"/>
      <c r="H27" s="89"/>
      <c r="I27" s="32"/>
      <c r="J27" s="59"/>
      <c r="K27" s="539"/>
      <c r="L27" s="554"/>
      <c r="M27" s="60"/>
      <c r="N27" s="412"/>
      <c r="O27" s="540"/>
      <c r="P27" s="423"/>
      <c r="Q27" s="422"/>
      <c r="R27" s="539"/>
      <c r="S27" s="554"/>
      <c r="T27" s="61">
        <v>1</v>
      </c>
      <c r="U27" s="412">
        <f t="shared" si="3"/>
        <v>0</v>
      </c>
      <c r="V27" s="540"/>
      <c r="W27" s="381"/>
      <c r="X27" s="382"/>
      <c r="Y27" s="383"/>
      <c r="Z27" s="412">
        <f t="shared" si="4"/>
        <v>0</v>
      </c>
      <c r="AA27" s="379"/>
      <c r="AB27" s="379"/>
      <c r="AC27" s="2"/>
      <c r="AD27" s="2"/>
      <c r="AE27" s="2"/>
      <c r="AF27" s="2"/>
      <c r="AG27" s="2"/>
      <c r="AH27" s="2"/>
      <c r="AI27" s="2"/>
      <c r="AJ27" s="2"/>
      <c r="AK27" s="2"/>
      <c r="AL27" s="2"/>
      <c r="BF27" s="2"/>
      <c r="BG27" s="2"/>
    </row>
    <row r="28" spans="1:59" ht="12.75" customHeight="1">
      <c r="A28" s="32"/>
      <c r="B28" s="32"/>
      <c r="C28" s="32"/>
      <c r="D28" s="32"/>
      <c r="E28" s="32"/>
      <c r="F28" s="58"/>
      <c r="G28" s="32"/>
      <c r="H28" s="89"/>
      <c r="I28" s="32"/>
      <c r="J28" s="59"/>
      <c r="K28" s="539"/>
      <c r="L28" s="554"/>
      <c r="M28" s="60"/>
      <c r="N28" s="412"/>
      <c r="O28" s="540"/>
      <c r="P28" s="423"/>
      <c r="Q28" s="422"/>
      <c r="R28" s="539"/>
      <c r="S28" s="554"/>
      <c r="T28" s="61">
        <v>1</v>
      </c>
      <c r="U28" s="412">
        <f t="shared" si="3"/>
        <v>0</v>
      </c>
      <c r="V28" s="540"/>
      <c r="W28" s="381"/>
      <c r="X28" s="382"/>
      <c r="Y28" s="383"/>
      <c r="Z28" s="412">
        <f t="shared" si="4"/>
        <v>0</v>
      </c>
      <c r="AA28" s="379"/>
      <c r="AB28" s="379"/>
      <c r="AC28" s="2"/>
      <c r="AD28" s="2"/>
      <c r="AE28" s="2"/>
      <c r="AF28" s="2"/>
      <c r="AG28" s="2"/>
      <c r="AH28" s="2"/>
      <c r="AI28" s="2"/>
      <c r="AJ28" s="2"/>
      <c r="AK28" s="2"/>
      <c r="AL28" s="2"/>
      <c r="BF28" s="2"/>
      <c r="BG28" s="2"/>
    </row>
    <row r="29" spans="1:59" ht="12.75" customHeight="1">
      <c r="A29" s="32"/>
      <c r="B29" s="32"/>
      <c r="C29" s="32"/>
      <c r="D29" s="32"/>
      <c r="E29" s="32"/>
      <c r="F29" s="58"/>
      <c r="G29" s="32"/>
      <c r="H29" s="89"/>
      <c r="I29" s="32"/>
      <c r="J29" s="59"/>
      <c r="K29" s="539"/>
      <c r="L29" s="554"/>
      <c r="M29" s="60"/>
      <c r="N29" s="412"/>
      <c r="O29" s="540"/>
      <c r="P29" s="423"/>
      <c r="Q29" s="422"/>
      <c r="R29" s="539"/>
      <c r="S29" s="554"/>
      <c r="T29" s="61">
        <v>1</v>
      </c>
      <c r="U29" s="412">
        <f t="shared" si="3"/>
        <v>0</v>
      </c>
      <c r="V29" s="540"/>
      <c r="W29" s="381"/>
      <c r="X29" s="382"/>
      <c r="Y29" s="383"/>
      <c r="Z29" s="412">
        <f t="shared" si="4"/>
        <v>0</v>
      </c>
      <c r="AA29" s="379"/>
      <c r="AB29" s="379"/>
      <c r="AC29" s="2"/>
      <c r="AD29" s="2"/>
      <c r="AE29" s="2"/>
      <c r="AF29" s="2"/>
      <c r="AG29" s="2"/>
      <c r="AH29" s="2"/>
      <c r="AI29" s="2"/>
      <c r="AJ29" s="2"/>
      <c r="AK29" s="2"/>
      <c r="AL29" s="2"/>
      <c r="BF29" s="2"/>
      <c r="BG29" s="2"/>
    </row>
    <row r="30" spans="1:59" ht="12.75" customHeight="1">
      <c r="A30" s="32"/>
      <c r="B30" s="32"/>
      <c r="C30" s="32"/>
      <c r="D30" s="32"/>
      <c r="E30" s="32"/>
      <c r="F30" s="58"/>
      <c r="G30" s="32"/>
      <c r="H30" s="89"/>
      <c r="I30" s="32"/>
      <c r="J30" s="59"/>
      <c r="K30" s="539"/>
      <c r="L30" s="554"/>
      <c r="M30" s="60"/>
      <c r="N30" s="412"/>
      <c r="O30" s="540"/>
      <c r="P30" s="423"/>
      <c r="Q30" s="422"/>
      <c r="R30" s="539"/>
      <c r="S30" s="554"/>
      <c r="T30" s="61">
        <v>1</v>
      </c>
      <c r="U30" s="412">
        <f t="shared" si="3"/>
        <v>0</v>
      </c>
      <c r="V30" s="540"/>
      <c r="W30" s="381"/>
      <c r="X30" s="382"/>
      <c r="Y30" s="383"/>
      <c r="Z30" s="412">
        <f t="shared" si="4"/>
        <v>0</v>
      </c>
      <c r="AA30" s="379"/>
      <c r="AB30" s="379"/>
      <c r="AC30" s="2"/>
      <c r="AD30" s="2"/>
      <c r="AE30" s="2"/>
      <c r="AF30" s="2"/>
      <c r="AG30" s="2"/>
      <c r="AH30" s="2"/>
      <c r="AI30" s="2"/>
      <c r="AJ30" s="2"/>
      <c r="AK30" s="2"/>
      <c r="AL30" s="2"/>
      <c r="BF30" s="2"/>
      <c r="BG30" s="2"/>
    </row>
    <row r="31" spans="1:59" ht="12.75" customHeight="1">
      <c r="A31" s="32"/>
      <c r="B31" s="32"/>
      <c r="C31" s="32"/>
      <c r="D31" s="32"/>
      <c r="E31" s="32"/>
      <c r="F31" s="58"/>
      <c r="G31" s="32"/>
      <c r="H31" s="89"/>
      <c r="I31" s="32"/>
      <c r="J31" s="59"/>
      <c r="K31" s="539"/>
      <c r="L31" s="554"/>
      <c r="M31" s="60"/>
      <c r="N31" s="412"/>
      <c r="O31" s="540"/>
      <c r="P31" s="423"/>
      <c r="Q31" s="422"/>
      <c r="R31" s="539"/>
      <c r="S31" s="554"/>
      <c r="T31" s="61">
        <v>1</v>
      </c>
      <c r="U31" s="412">
        <f t="shared" si="3"/>
        <v>0</v>
      </c>
      <c r="V31" s="540"/>
      <c r="W31" s="381"/>
      <c r="X31" s="382"/>
      <c r="Y31" s="383"/>
      <c r="Z31" s="412">
        <f t="shared" si="4"/>
        <v>0</v>
      </c>
      <c r="AA31" s="379"/>
      <c r="AB31" s="379"/>
      <c r="AC31" s="2"/>
      <c r="AD31" s="2"/>
      <c r="AE31" s="2"/>
      <c r="AF31" s="2"/>
      <c r="AG31" s="2"/>
      <c r="AH31" s="2"/>
      <c r="AI31" s="2"/>
      <c r="AJ31" s="2"/>
      <c r="AK31" s="2"/>
      <c r="AL31" s="2"/>
      <c r="BF31" s="2"/>
      <c r="BG31" s="2"/>
    </row>
    <row r="32" spans="1:59" ht="12.75" customHeight="1">
      <c r="A32" s="32"/>
      <c r="B32" s="32"/>
      <c r="C32" s="32"/>
      <c r="D32" s="32"/>
      <c r="E32" s="32"/>
      <c r="F32" s="58"/>
      <c r="G32" s="32"/>
      <c r="H32" s="89"/>
      <c r="I32" s="32"/>
      <c r="J32" s="59"/>
      <c r="K32" s="539"/>
      <c r="L32" s="554"/>
      <c r="M32" s="60"/>
      <c r="N32" s="412"/>
      <c r="O32" s="540"/>
      <c r="P32" s="423"/>
      <c r="Q32" s="422"/>
      <c r="R32" s="539"/>
      <c r="S32" s="554"/>
      <c r="T32" s="61">
        <v>1</v>
      </c>
      <c r="U32" s="412">
        <f t="shared" si="3"/>
        <v>0</v>
      </c>
      <c r="V32" s="540"/>
      <c r="W32" s="381"/>
      <c r="X32" s="382"/>
      <c r="Y32" s="383"/>
      <c r="Z32" s="412">
        <f t="shared" si="4"/>
        <v>0</v>
      </c>
      <c r="AA32" s="379"/>
      <c r="AB32" s="379"/>
      <c r="AC32" s="2"/>
      <c r="AD32" s="2"/>
      <c r="AE32" s="2"/>
      <c r="AF32" s="2"/>
      <c r="AG32" s="2"/>
      <c r="AH32" s="2"/>
      <c r="AI32" s="2"/>
      <c r="AJ32" s="2"/>
      <c r="AK32" s="2"/>
      <c r="AL32" s="2"/>
      <c r="BF32" s="2"/>
      <c r="BG32" s="2"/>
    </row>
    <row r="33" spans="1:59" ht="12.75" customHeight="1">
      <c r="A33" s="32"/>
      <c r="B33" s="32"/>
      <c r="C33" s="32"/>
      <c r="D33" s="32"/>
      <c r="E33" s="32"/>
      <c r="F33" s="58"/>
      <c r="G33" s="32"/>
      <c r="H33" s="89"/>
      <c r="I33" s="32"/>
      <c r="J33" s="59"/>
      <c r="K33" s="539"/>
      <c r="L33" s="554"/>
      <c r="M33" s="60"/>
      <c r="N33" s="412"/>
      <c r="O33" s="540"/>
      <c r="P33" s="423"/>
      <c r="Q33" s="422"/>
      <c r="R33" s="539"/>
      <c r="S33" s="554"/>
      <c r="T33" s="61">
        <v>1</v>
      </c>
      <c r="U33" s="412">
        <f t="shared" si="3"/>
        <v>0</v>
      </c>
      <c r="V33" s="540"/>
      <c r="W33" s="381"/>
      <c r="X33" s="382"/>
      <c r="Y33" s="383"/>
      <c r="Z33" s="412">
        <f t="shared" si="4"/>
        <v>0</v>
      </c>
      <c r="AA33" s="379"/>
      <c r="AB33" s="379"/>
      <c r="AC33" s="2"/>
      <c r="AD33" s="2"/>
      <c r="AE33" s="2"/>
      <c r="AF33" s="2"/>
      <c r="AG33" s="2"/>
      <c r="AH33" s="2"/>
      <c r="AI33" s="2"/>
      <c r="AJ33" s="2"/>
      <c r="AK33" s="2"/>
      <c r="AL33" s="2"/>
      <c r="BF33" s="2"/>
      <c r="BG33" s="2"/>
    </row>
    <row r="34" spans="1:59" ht="12.75" customHeight="1">
      <c r="A34" s="32"/>
      <c r="B34" s="32"/>
      <c r="C34" s="32"/>
      <c r="D34" s="32"/>
      <c r="E34" s="32"/>
      <c r="F34" s="58"/>
      <c r="G34" s="32"/>
      <c r="H34" s="89"/>
      <c r="I34" s="32"/>
      <c r="J34" s="59"/>
      <c r="K34" s="539"/>
      <c r="L34" s="554"/>
      <c r="M34" s="60"/>
      <c r="N34" s="412"/>
      <c r="O34" s="540"/>
      <c r="P34" s="423"/>
      <c r="Q34" s="422"/>
      <c r="R34" s="539"/>
      <c r="S34" s="554"/>
      <c r="T34" s="61">
        <v>1</v>
      </c>
      <c r="U34" s="412">
        <f t="shared" si="3"/>
        <v>0</v>
      </c>
      <c r="V34" s="540"/>
      <c r="W34" s="381"/>
      <c r="X34" s="382"/>
      <c r="Y34" s="383"/>
      <c r="Z34" s="412">
        <f t="shared" si="4"/>
        <v>0</v>
      </c>
      <c r="AA34" s="379"/>
      <c r="AB34" s="379"/>
      <c r="AC34" s="2"/>
      <c r="AD34" s="2"/>
      <c r="AE34" s="2"/>
      <c r="AF34" s="2"/>
      <c r="AG34" s="2"/>
      <c r="AH34" s="2"/>
      <c r="AI34" s="2"/>
      <c r="AJ34" s="2"/>
      <c r="AK34" s="2"/>
      <c r="AL34" s="2"/>
      <c r="BF34" s="2"/>
      <c r="BG34" s="2"/>
    </row>
    <row r="35" spans="1:59" ht="12.75" customHeight="1">
      <c r="A35" s="32"/>
      <c r="B35" s="32"/>
      <c r="C35" s="32"/>
      <c r="D35" s="32"/>
      <c r="E35" s="32"/>
      <c r="F35" s="58"/>
      <c r="G35" s="32"/>
      <c r="H35" s="89"/>
      <c r="I35" s="32"/>
      <c r="J35" s="59"/>
      <c r="K35" s="539"/>
      <c r="L35" s="554"/>
      <c r="M35" s="60"/>
      <c r="N35" s="412"/>
      <c r="O35" s="540"/>
      <c r="P35" s="423"/>
      <c r="Q35" s="422"/>
      <c r="R35" s="539"/>
      <c r="S35" s="554"/>
      <c r="T35" s="61">
        <v>1</v>
      </c>
      <c r="U35" s="412">
        <f t="shared" si="3"/>
        <v>0</v>
      </c>
      <c r="V35" s="540"/>
      <c r="W35" s="381"/>
      <c r="X35" s="382"/>
      <c r="Y35" s="383"/>
      <c r="Z35" s="412">
        <f t="shared" si="4"/>
        <v>0</v>
      </c>
      <c r="AA35" s="379"/>
      <c r="AB35" s="379"/>
      <c r="AC35" s="2"/>
      <c r="AD35" s="2"/>
      <c r="AE35" s="2"/>
      <c r="AF35" s="2"/>
      <c r="AG35" s="2"/>
      <c r="AH35" s="2"/>
      <c r="AI35" s="2"/>
      <c r="AJ35" s="2"/>
      <c r="AK35" s="2"/>
      <c r="AL35" s="2"/>
      <c r="BF35" s="2"/>
      <c r="BG35" s="2"/>
    </row>
    <row r="36" spans="1:59" ht="12.75" customHeight="1">
      <c r="A36" s="32"/>
      <c r="B36" s="32"/>
      <c r="C36" s="32"/>
      <c r="D36" s="32"/>
      <c r="E36" s="32"/>
      <c r="F36" s="58"/>
      <c r="G36" s="32"/>
      <c r="H36" s="89"/>
      <c r="I36" s="32"/>
      <c r="J36" s="59"/>
      <c r="K36" s="539"/>
      <c r="L36" s="554"/>
      <c r="M36" s="60"/>
      <c r="N36" s="412"/>
      <c r="O36" s="540"/>
      <c r="P36" s="423"/>
      <c r="Q36" s="422"/>
      <c r="R36" s="539"/>
      <c r="S36" s="554"/>
      <c r="T36" s="61">
        <v>1</v>
      </c>
      <c r="U36" s="412">
        <f t="shared" si="3"/>
        <v>0</v>
      </c>
      <c r="V36" s="540"/>
      <c r="W36" s="381"/>
      <c r="X36" s="382"/>
      <c r="Y36" s="383"/>
      <c r="Z36" s="412">
        <f t="shared" si="4"/>
        <v>0</v>
      </c>
      <c r="AA36" s="379"/>
      <c r="AB36" s="379"/>
      <c r="AC36" s="2"/>
      <c r="AD36" s="2"/>
      <c r="AE36" s="2"/>
      <c r="AF36" s="2"/>
      <c r="AG36" s="2"/>
      <c r="AH36" s="2"/>
      <c r="AI36" s="2"/>
      <c r="AJ36" s="2"/>
      <c r="AK36" s="2"/>
      <c r="AL36" s="2"/>
      <c r="BF36" s="2"/>
      <c r="BG36" s="2"/>
    </row>
    <row r="37" spans="1:59" ht="12.75" customHeight="1">
      <c r="A37" s="32"/>
      <c r="B37" s="32"/>
      <c r="C37" s="32"/>
      <c r="D37" s="32"/>
      <c r="E37" s="32"/>
      <c r="F37" s="58"/>
      <c r="G37" s="32"/>
      <c r="H37" s="89"/>
      <c r="I37" s="32"/>
      <c r="J37" s="59"/>
      <c r="K37" s="539"/>
      <c r="L37" s="554"/>
      <c r="M37" s="60"/>
      <c r="N37" s="412"/>
      <c r="O37" s="540"/>
      <c r="P37" s="423"/>
      <c r="Q37" s="422"/>
      <c r="R37" s="539"/>
      <c r="S37" s="554"/>
      <c r="T37" s="61">
        <v>1</v>
      </c>
      <c r="U37" s="412">
        <f t="shared" si="3"/>
        <v>0</v>
      </c>
      <c r="V37" s="540"/>
      <c r="W37" s="381"/>
      <c r="X37" s="382"/>
      <c r="Y37" s="383"/>
      <c r="Z37" s="412">
        <f t="shared" si="4"/>
        <v>0</v>
      </c>
      <c r="AA37" s="379"/>
      <c r="AB37" s="379"/>
      <c r="AC37" s="2"/>
      <c r="AD37" s="2"/>
      <c r="AE37" s="2"/>
      <c r="AF37" s="2"/>
      <c r="AG37" s="2"/>
      <c r="AH37" s="2"/>
      <c r="AI37" s="2"/>
      <c r="AJ37" s="2"/>
      <c r="AK37" s="2"/>
      <c r="AL37" s="2"/>
      <c r="BF37" s="2"/>
      <c r="BG37" s="2"/>
    </row>
    <row r="38" spans="1:59" ht="12.75" customHeight="1">
      <c r="A38" s="32"/>
      <c r="B38" s="32"/>
      <c r="C38" s="32"/>
      <c r="D38" s="32"/>
      <c r="E38" s="32"/>
      <c r="F38" s="58"/>
      <c r="G38" s="32"/>
      <c r="H38" s="89"/>
      <c r="I38" s="32"/>
      <c r="J38" s="59"/>
      <c r="K38" s="539"/>
      <c r="L38" s="554"/>
      <c r="M38" s="60"/>
      <c r="N38" s="412"/>
      <c r="O38" s="540"/>
      <c r="P38" s="423"/>
      <c r="Q38" s="422"/>
      <c r="R38" s="539"/>
      <c r="S38" s="554"/>
      <c r="T38" s="61">
        <v>1</v>
      </c>
      <c r="U38" s="412">
        <f t="shared" si="3"/>
        <v>0</v>
      </c>
      <c r="V38" s="540"/>
      <c r="W38" s="381"/>
      <c r="X38" s="382"/>
      <c r="Y38" s="383"/>
      <c r="Z38" s="412">
        <f t="shared" si="4"/>
        <v>0</v>
      </c>
      <c r="AA38" s="379"/>
      <c r="AB38" s="379"/>
      <c r="AC38" s="2"/>
      <c r="AD38" s="2"/>
      <c r="AE38" s="2"/>
      <c r="AF38" s="2"/>
      <c r="AG38" s="2"/>
      <c r="AH38" s="2"/>
      <c r="AI38" s="2"/>
      <c r="AJ38" s="2"/>
      <c r="AK38" s="2"/>
      <c r="AL38" s="2"/>
      <c r="BF38" s="2"/>
      <c r="BG38" s="2"/>
    </row>
    <row r="39" spans="1:59" ht="12.75" customHeight="1">
      <c r="A39" s="32"/>
      <c r="B39" s="32"/>
      <c r="C39" s="32"/>
      <c r="D39" s="32"/>
      <c r="E39" s="32"/>
      <c r="F39" s="58"/>
      <c r="G39" s="32"/>
      <c r="H39" s="89"/>
      <c r="I39" s="32"/>
      <c r="J39" s="59"/>
      <c r="K39" s="539"/>
      <c r="L39" s="554"/>
      <c r="M39" s="60"/>
      <c r="N39" s="412"/>
      <c r="O39" s="540"/>
      <c r="P39" s="423"/>
      <c r="Q39" s="422"/>
      <c r="R39" s="539"/>
      <c r="S39" s="554"/>
      <c r="T39" s="61">
        <v>1</v>
      </c>
      <c r="U39" s="412">
        <f t="shared" si="3"/>
        <v>0</v>
      </c>
      <c r="V39" s="540"/>
      <c r="W39" s="381"/>
      <c r="X39" s="382"/>
      <c r="Y39" s="383"/>
      <c r="Z39" s="412">
        <f t="shared" si="4"/>
        <v>0</v>
      </c>
      <c r="AA39" s="379"/>
      <c r="AB39" s="379"/>
      <c r="AC39" s="2"/>
      <c r="AD39" s="2"/>
      <c r="AE39" s="2"/>
      <c r="AF39" s="2"/>
      <c r="AG39" s="2"/>
      <c r="AH39" s="2"/>
      <c r="AI39" s="2"/>
      <c r="AJ39" s="2"/>
      <c r="AK39" s="2"/>
      <c r="AL39" s="2"/>
      <c r="BF39" s="2"/>
      <c r="BG39" s="2"/>
    </row>
    <row r="40" spans="1:59" ht="12.75" customHeight="1">
      <c r="A40" s="32"/>
      <c r="B40" s="32"/>
      <c r="C40" s="32"/>
      <c r="D40" s="32"/>
      <c r="E40" s="32"/>
      <c r="F40" s="58"/>
      <c r="G40" s="32"/>
      <c r="H40" s="89"/>
      <c r="I40" s="32"/>
      <c r="J40" s="59"/>
      <c r="K40" s="539"/>
      <c r="L40" s="554"/>
      <c r="M40" s="60"/>
      <c r="N40" s="412"/>
      <c r="O40" s="540"/>
      <c r="P40" s="423"/>
      <c r="Q40" s="422"/>
      <c r="R40" s="539"/>
      <c r="S40" s="554"/>
      <c r="T40" s="61">
        <v>1</v>
      </c>
      <c r="U40" s="412">
        <f t="shared" si="3"/>
        <v>0</v>
      </c>
      <c r="V40" s="540"/>
      <c r="W40" s="381"/>
      <c r="X40" s="382"/>
      <c r="Y40" s="383"/>
      <c r="Z40" s="412">
        <f t="shared" si="4"/>
        <v>0</v>
      </c>
      <c r="AA40" s="379"/>
      <c r="AB40" s="379"/>
      <c r="AC40" s="2"/>
      <c r="AD40" s="2"/>
      <c r="AE40" s="2"/>
      <c r="AF40" s="2"/>
      <c r="AG40" s="2"/>
      <c r="AH40" s="2"/>
      <c r="AI40" s="2"/>
      <c r="AJ40" s="2"/>
      <c r="AK40" s="2"/>
      <c r="AL40" s="2"/>
      <c r="BF40" s="2"/>
      <c r="BG40" s="2"/>
    </row>
    <row r="41" spans="1:62" ht="12.75" customHeight="1">
      <c r="A41" s="32"/>
      <c r="B41" s="32"/>
      <c r="C41" s="32"/>
      <c r="D41" s="32"/>
      <c r="E41" s="32"/>
      <c r="F41" s="58"/>
      <c r="G41" s="32"/>
      <c r="H41" s="89"/>
      <c r="I41" s="32"/>
      <c r="J41" s="59"/>
      <c r="K41" s="539"/>
      <c r="L41" s="554"/>
      <c r="M41" s="60"/>
      <c r="N41" s="412"/>
      <c r="O41" s="540"/>
      <c r="P41" s="423"/>
      <c r="Q41" s="422"/>
      <c r="R41" s="539"/>
      <c r="S41" s="554"/>
      <c r="T41" s="61">
        <v>1</v>
      </c>
      <c r="U41" s="412">
        <f aca="true" t="shared" si="5" ref="U41:U57">R41*T41</f>
        <v>0</v>
      </c>
      <c r="V41" s="540"/>
      <c r="W41" s="381"/>
      <c r="X41" s="382"/>
      <c r="Y41" s="383"/>
      <c r="Z41" s="412">
        <f aca="true" t="shared" si="6" ref="Z41:Z57">U41*W41</f>
        <v>0</v>
      </c>
      <c r="AA41" s="379"/>
      <c r="AB41" s="379"/>
      <c r="AC41" s="2"/>
      <c r="AD41" s="2"/>
      <c r="AE41" s="2"/>
      <c r="AF41" s="2"/>
      <c r="AG41" s="2"/>
      <c r="AH41" s="2"/>
      <c r="AI41" s="2"/>
      <c r="AJ41" s="2"/>
      <c r="AK41" s="2"/>
      <c r="AL41" s="2"/>
      <c r="BF41" s="2"/>
      <c r="BG41" s="2"/>
      <c r="BH41" s="2"/>
      <c r="BI41" s="2"/>
      <c r="BJ41" s="2"/>
    </row>
    <row r="42" spans="1:59" ht="12.75" customHeight="1">
      <c r="A42" s="32"/>
      <c r="B42" s="32"/>
      <c r="C42" s="32"/>
      <c r="D42" s="32"/>
      <c r="E42" s="32"/>
      <c r="F42" s="58"/>
      <c r="G42" s="32"/>
      <c r="H42" s="89"/>
      <c r="I42" s="32"/>
      <c r="J42" s="59"/>
      <c r="K42" s="539"/>
      <c r="L42" s="554"/>
      <c r="M42" s="60"/>
      <c r="N42" s="412"/>
      <c r="O42" s="540"/>
      <c r="P42" s="423"/>
      <c r="Q42" s="422"/>
      <c r="R42" s="539"/>
      <c r="S42" s="554"/>
      <c r="T42" s="61">
        <v>1</v>
      </c>
      <c r="U42" s="412">
        <f t="shared" si="5"/>
        <v>0</v>
      </c>
      <c r="V42" s="540"/>
      <c r="W42" s="381"/>
      <c r="X42" s="382"/>
      <c r="Y42" s="383"/>
      <c r="Z42" s="412">
        <f t="shared" si="6"/>
        <v>0</v>
      </c>
      <c r="AA42" s="379"/>
      <c r="AB42" s="379"/>
      <c r="AC42" s="2"/>
      <c r="AD42" s="2"/>
      <c r="AE42" s="2"/>
      <c r="AF42" s="2"/>
      <c r="AG42" s="2"/>
      <c r="AH42" s="2"/>
      <c r="AI42" s="2"/>
      <c r="AJ42" s="2"/>
      <c r="AK42" s="2"/>
      <c r="AL42" s="2"/>
      <c r="BF42" s="2"/>
      <c r="BG42" s="2"/>
    </row>
    <row r="43" spans="1:59" ht="12.75" customHeight="1">
      <c r="A43" s="32"/>
      <c r="B43" s="32"/>
      <c r="C43" s="32"/>
      <c r="D43" s="32"/>
      <c r="E43" s="32"/>
      <c r="F43" s="58"/>
      <c r="G43" s="32"/>
      <c r="H43" s="89"/>
      <c r="I43" s="32"/>
      <c r="J43" s="59"/>
      <c r="K43" s="539"/>
      <c r="L43" s="554"/>
      <c r="M43" s="60"/>
      <c r="N43" s="412"/>
      <c r="O43" s="540"/>
      <c r="P43" s="423"/>
      <c r="Q43" s="422"/>
      <c r="R43" s="539"/>
      <c r="S43" s="554"/>
      <c r="T43" s="61">
        <v>1</v>
      </c>
      <c r="U43" s="412">
        <f t="shared" si="5"/>
        <v>0</v>
      </c>
      <c r="V43" s="540"/>
      <c r="W43" s="381"/>
      <c r="X43" s="382"/>
      <c r="Y43" s="383"/>
      <c r="Z43" s="412">
        <f t="shared" si="6"/>
        <v>0</v>
      </c>
      <c r="AA43" s="379"/>
      <c r="AB43" s="379"/>
      <c r="AC43" s="2"/>
      <c r="AD43" s="2"/>
      <c r="AE43" s="2"/>
      <c r="AF43" s="2"/>
      <c r="AG43" s="2"/>
      <c r="AH43" s="2"/>
      <c r="AI43" s="2"/>
      <c r="AJ43" s="2"/>
      <c r="AK43" s="2"/>
      <c r="AL43" s="2"/>
      <c r="BF43" s="2"/>
      <c r="BG43" s="2"/>
    </row>
    <row r="44" spans="1:59" ht="12.75" customHeight="1">
      <c r="A44" s="32"/>
      <c r="B44" s="32"/>
      <c r="C44" s="32"/>
      <c r="D44" s="32"/>
      <c r="E44" s="32"/>
      <c r="F44" s="58"/>
      <c r="G44" s="32"/>
      <c r="H44" s="89"/>
      <c r="I44" s="32"/>
      <c r="J44" s="59"/>
      <c r="K44" s="539"/>
      <c r="L44" s="554"/>
      <c r="M44" s="60"/>
      <c r="N44" s="412"/>
      <c r="O44" s="540"/>
      <c r="P44" s="423"/>
      <c r="Q44" s="422"/>
      <c r="R44" s="539"/>
      <c r="S44" s="554"/>
      <c r="T44" s="61">
        <v>1</v>
      </c>
      <c r="U44" s="412">
        <f t="shared" si="5"/>
        <v>0</v>
      </c>
      <c r="V44" s="540"/>
      <c r="W44" s="381"/>
      <c r="X44" s="382"/>
      <c r="Y44" s="383"/>
      <c r="Z44" s="412">
        <f t="shared" si="6"/>
        <v>0</v>
      </c>
      <c r="AA44" s="379"/>
      <c r="AB44" s="379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 customHeight="1">
      <c r="A45" s="32"/>
      <c r="B45" s="32"/>
      <c r="C45" s="32"/>
      <c r="D45" s="32"/>
      <c r="E45" s="32"/>
      <c r="F45" s="58"/>
      <c r="G45" s="32"/>
      <c r="H45" s="89"/>
      <c r="I45" s="32"/>
      <c r="J45" s="59"/>
      <c r="K45" s="539"/>
      <c r="L45" s="554"/>
      <c r="M45" s="60"/>
      <c r="N45" s="412"/>
      <c r="O45" s="540"/>
      <c r="P45" s="423"/>
      <c r="Q45" s="422"/>
      <c r="R45" s="539"/>
      <c r="S45" s="554"/>
      <c r="T45" s="61">
        <v>1</v>
      </c>
      <c r="U45" s="412">
        <f t="shared" si="5"/>
        <v>0</v>
      </c>
      <c r="V45" s="540"/>
      <c r="W45" s="381"/>
      <c r="X45" s="382"/>
      <c r="Y45" s="383"/>
      <c r="Z45" s="412">
        <f t="shared" si="6"/>
        <v>0</v>
      </c>
      <c r="AA45" s="379"/>
      <c r="AB45" s="379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2.75" customHeight="1">
      <c r="A46" s="32"/>
      <c r="B46" s="32"/>
      <c r="C46" s="32"/>
      <c r="D46" s="32"/>
      <c r="E46" s="32"/>
      <c r="F46" s="58"/>
      <c r="G46" s="32"/>
      <c r="H46" s="89"/>
      <c r="I46" s="32"/>
      <c r="J46" s="59"/>
      <c r="K46" s="539"/>
      <c r="L46" s="554"/>
      <c r="M46" s="60"/>
      <c r="N46" s="412"/>
      <c r="O46" s="540"/>
      <c r="P46" s="423"/>
      <c r="Q46" s="422"/>
      <c r="R46" s="539"/>
      <c r="S46" s="554"/>
      <c r="T46" s="61">
        <v>1</v>
      </c>
      <c r="U46" s="412">
        <f t="shared" si="5"/>
        <v>0</v>
      </c>
      <c r="V46" s="540"/>
      <c r="W46" s="381"/>
      <c r="X46" s="382"/>
      <c r="Y46" s="383"/>
      <c r="Z46" s="412">
        <f t="shared" si="6"/>
        <v>0</v>
      </c>
      <c r="AA46" s="379"/>
      <c r="AB46" s="379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 customHeight="1">
      <c r="A47" s="32"/>
      <c r="B47" s="32"/>
      <c r="C47" s="32"/>
      <c r="D47" s="32"/>
      <c r="E47" s="32"/>
      <c r="F47" s="58"/>
      <c r="G47" s="32"/>
      <c r="H47" s="89"/>
      <c r="I47" s="32"/>
      <c r="J47" s="59"/>
      <c r="K47" s="539"/>
      <c r="L47" s="554"/>
      <c r="M47" s="60"/>
      <c r="N47" s="412"/>
      <c r="O47" s="540"/>
      <c r="P47" s="423"/>
      <c r="Q47" s="422"/>
      <c r="R47" s="539"/>
      <c r="S47" s="554"/>
      <c r="T47" s="61">
        <v>1</v>
      </c>
      <c r="U47" s="412">
        <f t="shared" si="5"/>
        <v>0</v>
      </c>
      <c r="V47" s="540"/>
      <c r="W47" s="381"/>
      <c r="X47" s="382"/>
      <c r="Y47" s="383"/>
      <c r="Z47" s="412">
        <f t="shared" si="6"/>
        <v>0</v>
      </c>
      <c r="AA47" s="379"/>
      <c r="AB47" s="379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 customHeight="1">
      <c r="A48" s="32"/>
      <c r="B48" s="32"/>
      <c r="C48" s="32"/>
      <c r="D48" s="32"/>
      <c r="E48" s="32"/>
      <c r="F48" s="58"/>
      <c r="G48" s="32"/>
      <c r="H48" s="89"/>
      <c r="I48" s="32"/>
      <c r="J48" s="59"/>
      <c r="K48" s="539"/>
      <c r="L48" s="554"/>
      <c r="M48" s="60"/>
      <c r="N48" s="412"/>
      <c r="O48" s="540"/>
      <c r="P48" s="423"/>
      <c r="Q48" s="422"/>
      <c r="R48" s="539"/>
      <c r="S48" s="554"/>
      <c r="T48" s="61">
        <v>1</v>
      </c>
      <c r="U48" s="412">
        <f t="shared" si="5"/>
        <v>0</v>
      </c>
      <c r="V48" s="540"/>
      <c r="W48" s="381"/>
      <c r="X48" s="382"/>
      <c r="Y48" s="383"/>
      <c r="Z48" s="412">
        <f t="shared" si="6"/>
        <v>0</v>
      </c>
      <c r="AA48" s="379"/>
      <c r="AB48" s="379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 customHeight="1">
      <c r="A49" s="32"/>
      <c r="B49" s="32"/>
      <c r="C49" s="32"/>
      <c r="D49" s="32"/>
      <c r="E49" s="32"/>
      <c r="F49" s="58"/>
      <c r="G49" s="32"/>
      <c r="H49" s="89"/>
      <c r="I49" s="32"/>
      <c r="J49" s="59"/>
      <c r="K49" s="539"/>
      <c r="L49" s="554"/>
      <c r="M49" s="60"/>
      <c r="N49" s="412"/>
      <c r="O49" s="540"/>
      <c r="P49" s="423"/>
      <c r="Q49" s="422"/>
      <c r="R49" s="539"/>
      <c r="S49" s="554"/>
      <c r="T49" s="61">
        <v>1</v>
      </c>
      <c r="U49" s="412">
        <f t="shared" si="5"/>
        <v>0</v>
      </c>
      <c r="V49" s="540"/>
      <c r="W49" s="381"/>
      <c r="X49" s="382"/>
      <c r="Y49" s="383"/>
      <c r="Z49" s="412">
        <f t="shared" si="6"/>
        <v>0</v>
      </c>
      <c r="AA49" s="379"/>
      <c r="AB49" s="379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 customHeight="1">
      <c r="A50" s="32"/>
      <c r="B50" s="32"/>
      <c r="C50" s="32"/>
      <c r="D50" s="32"/>
      <c r="E50" s="32"/>
      <c r="F50" s="58"/>
      <c r="G50" s="32"/>
      <c r="H50" s="89"/>
      <c r="I50" s="32"/>
      <c r="J50" s="59"/>
      <c r="K50" s="539"/>
      <c r="L50" s="554"/>
      <c r="M50" s="60"/>
      <c r="N50" s="412"/>
      <c r="O50" s="540"/>
      <c r="P50" s="423"/>
      <c r="Q50" s="422"/>
      <c r="R50" s="539"/>
      <c r="S50" s="554"/>
      <c r="T50" s="61">
        <v>1</v>
      </c>
      <c r="U50" s="412">
        <f t="shared" si="5"/>
        <v>0</v>
      </c>
      <c r="V50" s="540"/>
      <c r="W50" s="381"/>
      <c r="X50" s="382"/>
      <c r="Y50" s="383"/>
      <c r="Z50" s="412">
        <f t="shared" si="6"/>
        <v>0</v>
      </c>
      <c r="AA50" s="379"/>
      <c r="AB50" s="379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 customHeight="1">
      <c r="A51" s="32"/>
      <c r="B51" s="32"/>
      <c r="C51" s="32"/>
      <c r="D51" s="32"/>
      <c r="E51" s="32"/>
      <c r="F51" s="58"/>
      <c r="G51" s="32"/>
      <c r="H51" s="89"/>
      <c r="I51" s="32"/>
      <c r="J51" s="59"/>
      <c r="K51" s="539"/>
      <c r="L51" s="554"/>
      <c r="M51" s="60"/>
      <c r="N51" s="412"/>
      <c r="O51" s="540"/>
      <c r="P51" s="423"/>
      <c r="Q51" s="422"/>
      <c r="R51" s="539"/>
      <c r="S51" s="554"/>
      <c r="T51" s="61">
        <v>1</v>
      </c>
      <c r="U51" s="412">
        <f t="shared" si="5"/>
        <v>0</v>
      </c>
      <c r="V51" s="540"/>
      <c r="W51" s="381"/>
      <c r="X51" s="382"/>
      <c r="Y51" s="383"/>
      <c r="Z51" s="412">
        <f t="shared" si="6"/>
        <v>0</v>
      </c>
      <c r="AA51" s="379"/>
      <c r="AB51" s="37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 customHeight="1">
      <c r="A52" s="32"/>
      <c r="B52" s="32"/>
      <c r="C52" s="32"/>
      <c r="D52" s="32"/>
      <c r="E52" s="32"/>
      <c r="F52" s="58"/>
      <c r="G52" s="32"/>
      <c r="H52" s="89"/>
      <c r="I52" s="32"/>
      <c r="J52" s="59"/>
      <c r="K52" s="539"/>
      <c r="L52" s="554"/>
      <c r="M52" s="60"/>
      <c r="N52" s="412"/>
      <c r="O52" s="540"/>
      <c r="P52" s="423"/>
      <c r="Q52" s="422"/>
      <c r="R52" s="539"/>
      <c r="S52" s="554"/>
      <c r="T52" s="61">
        <v>1</v>
      </c>
      <c r="U52" s="412">
        <f t="shared" si="5"/>
        <v>0</v>
      </c>
      <c r="V52" s="540"/>
      <c r="W52" s="381"/>
      <c r="X52" s="382"/>
      <c r="Y52" s="383"/>
      <c r="Z52" s="412">
        <f t="shared" si="6"/>
        <v>0</v>
      </c>
      <c r="AA52" s="379"/>
      <c r="AB52" s="379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 customHeight="1">
      <c r="A53" s="32"/>
      <c r="B53" s="32"/>
      <c r="C53" s="32"/>
      <c r="D53" s="32"/>
      <c r="E53" s="32"/>
      <c r="F53" s="58"/>
      <c r="G53" s="32"/>
      <c r="H53" s="89"/>
      <c r="I53" s="32"/>
      <c r="J53" s="59"/>
      <c r="K53" s="539"/>
      <c r="L53" s="554"/>
      <c r="M53" s="60"/>
      <c r="N53" s="412"/>
      <c r="O53" s="540"/>
      <c r="P53" s="423"/>
      <c r="Q53" s="422"/>
      <c r="R53" s="539"/>
      <c r="S53" s="554"/>
      <c r="T53" s="61">
        <v>1</v>
      </c>
      <c r="U53" s="412">
        <f t="shared" si="5"/>
        <v>0</v>
      </c>
      <c r="V53" s="540"/>
      <c r="W53" s="381"/>
      <c r="X53" s="382"/>
      <c r="Y53" s="383"/>
      <c r="Z53" s="412">
        <f t="shared" si="6"/>
        <v>0</v>
      </c>
      <c r="AA53" s="379"/>
      <c r="AB53" s="37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 customHeight="1">
      <c r="A54" s="32"/>
      <c r="B54" s="32"/>
      <c r="C54" s="32"/>
      <c r="D54" s="32"/>
      <c r="E54" s="32"/>
      <c r="F54" s="58"/>
      <c r="G54" s="32"/>
      <c r="H54" s="89"/>
      <c r="I54" s="32"/>
      <c r="J54" s="59"/>
      <c r="K54" s="539"/>
      <c r="L54" s="554"/>
      <c r="M54" s="60"/>
      <c r="N54" s="412"/>
      <c r="O54" s="540"/>
      <c r="P54" s="423"/>
      <c r="Q54" s="422"/>
      <c r="R54" s="539"/>
      <c r="S54" s="554"/>
      <c r="T54" s="61">
        <v>1</v>
      </c>
      <c r="U54" s="412">
        <f t="shared" si="5"/>
        <v>0</v>
      </c>
      <c r="V54" s="540"/>
      <c r="W54" s="381"/>
      <c r="X54" s="382"/>
      <c r="Y54" s="383"/>
      <c r="Z54" s="412">
        <f t="shared" si="6"/>
        <v>0</v>
      </c>
      <c r="AA54" s="379"/>
      <c r="AB54" s="37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 customHeight="1">
      <c r="A55" s="32"/>
      <c r="B55" s="32"/>
      <c r="C55" s="32"/>
      <c r="D55" s="32"/>
      <c r="E55" s="32"/>
      <c r="F55" s="58"/>
      <c r="G55" s="32"/>
      <c r="H55" s="89"/>
      <c r="I55" s="32"/>
      <c r="J55" s="59"/>
      <c r="K55" s="539"/>
      <c r="L55" s="554"/>
      <c r="M55" s="60"/>
      <c r="N55" s="412"/>
      <c r="O55" s="540"/>
      <c r="P55" s="423"/>
      <c r="Q55" s="422"/>
      <c r="R55" s="539"/>
      <c r="S55" s="554"/>
      <c r="T55" s="61">
        <v>1</v>
      </c>
      <c r="U55" s="412">
        <f t="shared" si="5"/>
        <v>0</v>
      </c>
      <c r="V55" s="540"/>
      <c r="W55" s="381"/>
      <c r="X55" s="382"/>
      <c r="Y55" s="383"/>
      <c r="Z55" s="412">
        <f t="shared" si="6"/>
        <v>0</v>
      </c>
      <c r="AA55" s="379"/>
      <c r="AB55" s="379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 customHeight="1">
      <c r="A56" s="32"/>
      <c r="B56" s="32"/>
      <c r="C56" s="32"/>
      <c r="D56" s="32"/>
      <c r="E56" s="32"/>
      <c r="F56" s="58"/>
      <c r="G56" s="32"/>
      <c r="H56" s="89"/>
      <c r="I56" s="32"/>
      <c r="J56" s="59"/>
      <c r="K56" s="539"/>
      <c r="L56" s="554"/>
      <c r="M56" s="60"/>
      <c r="N56" s="412"/>
      <c r="O56" s="540"/>
      <c r="P56" s="423"/>
      <c r="Q56" s="422"/>
      <c r="R56" s="539"/>
      <c r="S56" s="554"/>
      <c r="T56" s="61">
        <v>1</v>
      </c>
      <c r="U56" s="412">
        <f t="shared" si="5"/>
        <v>0</v>
      </c>
      <c r="V56" s="540"/>
      <c r="W56" s="381"/>
      <c r="X56" s="382"/>
      <c r="Y56" s="383"/>
      <c r="Z56" s="412">
        <f t="shared" si="6"/>
        <v>0</v>
      </c>
      <c r="AA56" s="379"/>
      <c r="AB56" s="379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2.75" customHeight="1">
      <c r="A57" s="32"/>
      <c r="B57" s="32"/>
      <c r="C57" s="32"/>
      <c r="D57" s="32"/>
      <c r="E57" s="32"/>
      <c r="F57" s="58"/>
      <c r="G57" s="32"/>
      <c r="H57" s="89"/>
      <c r="I57" s="32"/>
      <c r="J57" s="59"/>
      <c r="K57" s="539"/>
      <c r="L57" s="554"/>
      <c r="M57" s="60"/>
      <c r="N57" s="412"/>
      <c r="O57" s="540"/>
      <c r="P57" s="423"/>
      <c r="Q57" s="422"/>
      <c r="R57" s="539"/>
      <c r="S57" s="554"/>
      <c r="T57" s="61">
        <v>1</v>
      </c>
      <c r="U57" s="412">
        <f t="shared" si="5"/>
        <v>0</v>
      </c>
      <c r="V57" s="540"/>
      <c r="W57" s="381"/>
      <c r="X57" s="382"/>
      <c r="Y57" s="383"/>
      <c r="Z57" s="412">
        <f t="shared" si="6"/>
        <v>0</v>
      </c>
      <c r="AA57" s="379"/>
      <c r="AB57" s="379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30" ht="12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90"/>
      <c r="N58" s="85"/>
      <c r="O58" s="529" t="s">
        <v>497</v>
      </c>
      <c r="P58" s="529"/>
      <c r="Q58" s="478" t="e">
        <f>SUM(R15:S57)</f>
        <v>#VALUE!</v>
      </c>
      <c r="R58" s="478"/>
      <c r="S58" s="478"/>
      <c r="T58" s="478" t="e">
        <f>SUM(U15:V57)</f>
        <v>#VALUE!</v>
      </c>
      <c r="U58" s="478"/>
      <c r="V58" s="478"/>
      <c r="W58" s="85"/>
      <c r="X58" s="529" t="s">
        <v>498</v>
      </c>
      <c r="Y58" s="529"/>
      <c r="Z58" s="661" t="e">
        <f>SUM(Z15:AB57)</f>
        <v>#VALUE!</v>
      </c>
      <c r="AA58" s="661"/>
      <c r="AB58" s="661"/>
      <c r="AC58" s="5"/>
      <c r="AD58" s="2"/>
    </row>
    <row r="59" spans="1:30" ht="12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529" t="str">
        <f>R13</f>
        <v>실중량</v>
      </c>
      <c r="P59" s="530"/>
      <c r="Q59" s="631" t="e">
        <f>Q58</f>
        <v>#VALUE!</v>
      </c>
      <c r="R59" s="631"/>
      <c r="S59" s="631"/>
      <c r="T59" s="631" t="e">
        <f>T58</f>
        <v>#VALUE!</v>
      </c>
      <c r="U59" s="631"/>
      <c r="V59" s="631"/>
      <c r="W59" s="85"/>
      <c r="X59" s="529" t="s">
        <v>499</v>
      </c>
      <c r="Y59" s="530"/>
      <c r="Z59" s="425" t="e">
        <f>Z58</f>
        <v>#VALUE!</v>
      </c>
      <c r="AA59" s="425"/>
      <c r="AB59" s="425"/>
      <c r="AC59" s="5"/>
      <c r="AD59" s="2"/>
    </row>
    <row r="60" spans="1:30" ht="12.75" customHeight="1">
      <c r="A60" s="2" t="str">
        <f>cosymbol</f>
        <v> NTES</v>
      </c>
      <c r="AB60" s="8" t="str">
        <f>coname</f>
        <v>Narai Thermal Engineering Services </v>
      </c>
      <c r="AC60" s="2"/>
      <c r="AD60" s="2"/>
    </row>
    <row r="61" spans="1:29" ht="12.75" customHeight="1">
      <c r="A61" s="78">
        <v>2</v>
      </c>
      <c r="B61" s="727" t="s">
        <v>500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6"/>
    </row>
    <row r="62" spans="1:29" ht="12.75" customHeight="1">
      <c r="A62" s="485" t="s">
        <v>501</v>
      </c>
      <c r="B62" s="485"/>
      <c r="C62" s="485"/>
      <c r="D62" s="486"/>
      <c r="E62" s="168" t="s">
        <v>502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19"/>
      <c r="U62" s="417"/>
      <c r="V62" s="82" t="s">
        <v>503</v>
      </c>
      <c r="W62" s="506">
        <v>1300</v>
      </c>
      <c r="X62" s="507"/>
      <c r="Y62" s="508"/>
      <c r="Z62" s="379">
        <f aca="true" t="shared" si="7" ref="Z62:Z67">T62*W62</f>
        <v>0</v>
      </c>
      <c r="AA62" s="379"/>
      <c r="AB62" s="379"/>
      <c r="AC62" s="6"/>
    </row>
    <row r="63" spans="1:31" ht="12.75" customHeight="1">
      <c r="A63" s="531"/>
      <c r="B63" s="531"/>
      <c r="C63" s="531"/>
      <c r="D63" s="534"/>
      <c r="E63" s="177" t="s">
        <v>504</v>
      </c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430"/>
      <c r="U63" s="407"/>
      <c r="V63" s="122" t="s">
        <v>503</v>
      </c>
      <c r="W63" s="497">
        <v>650</v>
      </c>
      <c r="X63" s="498"/>
      <c r="Y63" s="499"/>
      <c r="Z63" s="407">
        <f t="shared" si="7"/>
        <v>0</v>
      </c>
      <c r="AA63" s="407"/>
      <c r="AB63" s="407"/>
      <c r="AC63" s="6"/>
      <c r="AD63" s="370" t="s">
        <v>505</v>
      </c>
      <c r="AE63" s="370"/>
    </row>
    <row r="64" spans="1:43" ht="12.75" customHeight="1">
      <c r="A64" s="485" t="s">
        <v>506</v>
      </c>
      <c r="B64" s="485"/>
      <c r="C64" s="485"/>
      <c r="D64" s="486"/>
      <c r="E64" s="168" t="s">
        <v>496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419"/>
      <c r="U64" s="417"/>
      <c r="V64" s="82" t="s">
        <v>503</v>
      </c>
      <c r="W64" s="506">
        <v>8000</v>
      </c>
      <c r="X64" s="507"/>
      <c r="Y64" s="508"/>
      <c r="Z64" s="417">
        <f t="shared" si="7"/>
        <v>0</v>
      </c>
      <c r="AA64" s="417"/>
      <c r="AB64" s="417"/>
      <c r="AC64" s="6"/>
      <c r="AD64" s="730">
        <v>500</v>
      </c>
      <c r="AE64" s="730"/>
      <c r="AF64" s="730">
        <v>1000</v>
      </c>
      <c r="AG64" s="730"/>
      <c r="AH64" s="730">
        <v>1500</v>
      </c>
      <c r="AI64" s="730"/>
      <c r="AJ64" s="730">
        <v>2000</v>
      </c>
      <c r="AK64" s="730"/>
      <c r="AL64" s="730">
        <v>2500</v>
      </c>
      <c r="AM64" s="730"/>
      <c r="AN64" s="730">
        <v>3000</v>
      </c>
      <c r="AO64" s="730"/>
      <c r="AP64" s="2"/>
      <c r="AQ64" s="2"/>
    </row>
    <row r="65" spans="1:43" ht="12.75" customHeight="1">
      <c r="A65" s="531"/>
      <c r="B65" s="531"/>
      <c r="C65" s="531"/>
      <c r="D65" s="534"/>
      <c r="E65" s="169" t="s">
        <v>507</v>
      </c>
      <c r="F65" s="83"/>
      <c r="G65" s="83"/>
      <c r="H65" s="83"/>
      <c r="I65" s="83" t="s">
        <v>508</v>
      </c>
      <c r="J65" s="535">
        <f>K41</f>
        <v>0</v>
      </c>
      <c r="K65" s="535"/>
      <c r="L65" s="83"/>
      <c r="M65" s="83"/>
      <c r="N65" s="83"/>
      <c r="O65" s="83"/>
      <c r="P65" s="83"/>
      <c r="Q65" s="83"/>
      <c r="R65" s="83"/>
      <c r="S65" s="83"/>
      <c r="T65" s="412"/>
      <c r="U65" s="379"/>
      <c r="V65" s="83" t="str">
        <f>V64</f>
        <v>ea</v>
      </c>
      <c r="W65" s="378">
        <f>IF(J65&lt;=AD64,AD65,IF(J65&lt;=AF64,AF65,IF(J65&lt;=AH64,AH65,IF(J65&lt;=AJ64,AJ65,IF(J65&lt;=AL64,AL65,IF(J65&lt;=AN64,AN65,AP65))))))</f>
        <v>250000</v>
      </c>
      <c r="X65" s="379"/>
      <c r="Y65" s="380"/>
      <c r="Z65" s="379">
        <f t="shared" si="7"/>
        <v>0</v>
      </c>
      <c r="AA65" s="379"/>
      <c r="AB65" s="379"/>
      <c r="AC65" s="6"/>
      <c r="AD65" s="732">
        <v>250000</v>
      </c>
      <c r="AE65" s="732"/>
      <c r="AF65" s="731">
        <v>500000</v>
      </c>
      <c r="AG65" s="731"/>
      <c r="AH65" s="731">
        <v>750000</v>
      </c>
      <c r="AI65" s="731"/>
      <c r="AJ65" s="731">
        <v>1000000</v>
      </c>
      <c r="AK65" s="731"/>
      <c r="AL65" s="732">
        <v>1250000</v>
      </c>
      <c r="AM65" s="732"/>
      <c r="AN65" s="732">
        <v>1500000</v>
      </c>
      <c r="AO65" s="732"/>
      <c r="AP65" s="733">
        <v>2500000</v>
      </c>
      <c r="AQ65" s="733"/>
    </row>
    <row r="66" spans="1:29" ht="12.75" customHeight="1">
      <c r="A66" s="531"/>
      <c r="B66" s="531"/>
      <c r="C66" s="531"/>
      <c r="D66" s="534"/>
      <c r="E66" s="169" t="s">
        <v>509</v>
      </c>
      <c r="F66" s="83"/>
      <c r="G66" s="83"/>
      <c r="H66" s="83"/>
      <c r="I66" s="83" t="str">
        <f>I65</f>
        <v>ID</v>
      </c>
      <c r="J66" s="535" t="e">
        <f>#REF!</f>
        <v>#REF!</v>
      </c>
      <c r="K66" s="729"/>
      <c r="L66" s="83"/>
      <c r="M66" s="83"/>
      <c r="N66" s="83"/>
      <c r="O66" s="83"/>
      <c r="P66" s="83"/>
      <c r="Q66" s="83"/>
      <c r="R66" s="83"/>
      <c r="S66" s="83"/>
      <c r="T66" s="412"/>
      <c r="U66" s="379"/>
      <c r="V66" s="83" t="str">
        <f>V64</f>
        <v>ea</v>
      </c>
      <c r="W66" s="378" t="e">
        <f>IF(J66&lt;=AD64,AD65,IF(J66&lt;=AF64,AF65,IF(J66&lt;=AH64,AH65,IF(J66&lt;=AJ64,AJ65,IF(J66&lt;=AL64,AL65,IF(J66&lt;=AN64,AN65,AP65))))))</f>
        <v>#REF!</v>
      </c>
      <c r="X66" s="379"/>
      <c r="Y66" s="380"/>
      <c r="Z66" s="379" t="e">
        <f t="shared" si="7"/>
        <v>#REF!</v>
      </c>
      <c r="AA66" s="379"/>
      <c r="AB66" s="379"/>
      <c r="AC66" s="6"/>
    </row>
    <row r="67" spans="1:59" ht="12.75" customHeight="1">
      <c r="A67" s="487"/>
      <c r="B67" s="487"/>
      <c r="C67" s="487"/>
      <c r="D67" s="488"/>
      <c r="E67" s="133" t="s">
        <v>510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415"/>
      <c r="U67" s="406"/>
      <c r="V67" s="33" t="str">
        <f>V64</f>
        <v>ea</v>
      </c>
      <c r="W67" s="413">
        <f>W65/3</f>
        <v>83333.33333333333</v>
      </c>
      <c r="X67" s="406"/>
      <c r="Y67" s="414"/>
      <c r="Z67" s="406">
        <f t="shared" si="7"/>
        <v>0</v>
      </c>
      <c r="AA67" s="406"/>
      <c r="AB67" s="406"/>
      <c r="AC67" s="2"/>
      <c r="AD67" s="370" t="s">
        <v>505</v>
      </c>
      <c r="AE67" s="370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43" ht="12.75" customHeight="1">
      <c r="A68" s="531" t="s">
        <v>511</v>
      </c>
      <c r="B68" s="531"/>
      <c r="C68" s="531"/>
      <c r="D68" s="534"/>
      <c r="E68" s="179" t="s">
        <v>512</v>
      </c>
      <c r="F68" s="129"/>
      <c r="G68" s="181" t="s">
        <v>513</v>
      </c>
      <c r="N68" s="411"/>
      <c r="O68" s="409"/>
      <c r="P68" s="129" t="s">
        <v>503</v>
      </c>
      <c r="Q68" s="408">
        <f>IF(J65&lt;=AD68,AD69,IF(J65&lt;=AF68,AF69,IF(J65&lt;=AH68,AH69,IF(J65&lt;=AJ68,AJ69,IF(J65&lt;=AL68,AL69,IF(J65&lt;=AN68,AN69,AP69))))))</f>
        <v>500000</v>
      </c>
      <c r="R68" s="409"/>
      <c r="S68" s="410"/>
      <c r="T68" s="411"/>
      <c r="U68" s="409"/>
      <c r="V68" s="129" t="s">
        <v>503</v>
      </c>
      <c r="W68" s="408" t="e">
        <f>IF(J66&lt;=AD68,AD69,IF(J66&lt;=AF68,AF69,IF(J66&lt;=AH68,AH69,IF(J66&lt;=AJ68,AJ69,IF(J66&lt;=AL68,AL69,IF(J66&lt;=AN68,AN69,AP69))))))</f>
        <v>#REF!</v>
      </c>
      <c r="X68" s="409"/>
      <c r="Y68" s="410"/>
      <c r="Z68" s="409" t="e">
        <f>N68*Q68+T68*W68</f>
        <v>#REF!</v>
      </c>
      <c r="AA68" s="409"/>
      <c r="AB68" s="409"/>
      <c r="AC68" s="6"/>
      <c r="AD68" s="730">
        <v>500</v>
      </c>
      <c r="AE68" s="730"/>
      <c r="AF68" s="730">
        <v>1000</v>
      </c>
      <c r="AG68" s="730"/>
      <c r="AH68" s="730">
        <v>1500</v>
      </c>
      <c r="AI68" s="730"/>
      <c r="AJ68" s="730">
        <v>2000</v>
      </c>
      <c r="AK68" s="730"/>
      <c r="AL68" s="730">
        <v>2500</v>
      </c>
      <c r="AM68" s="730"/>
      <c r="AN68" s="730">
        <v>3000</v>
      </c>
      <c r="AO68" s="730"/>
      <c r="AP68" s="2"/>
      <c r="AQ68" s="2"/>
    </row>
    <row r="69" spans="1:43" ht="12.75" customHeight="1">
      <c r="A69" s="531"/>
      <c r="B69" s="531"/>
      <c r="C69" s="531"/>
      <c r="D69" s="534"/>
      <c r="E69" s="177" t="s">
        <v>514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430"/>
      <c r="U69" s="407"/>
      <c r="V69" s="122" t="str">
        <f>V68</f>
        <v>ea</v>
      </c>
      <c r="W69" s="497">
        <v>500</v>
      </c>
      <c r="X69" s="498"/>
      <c r="Y69" s="499"/>
      <c r="Z69" s="407">
        <f>T69*W69</f>
        <v>0</v>
      </c>
      <c r="AA69" s="407"/>
      <c r="AB69" s="407"/>
      <c r="AC69" s="6"/>
      <c r="AD69" s="732">
        <v>500000</v>
      </c>
      <c r="AE69" s="732"/>
      <c r="AF69" s="731">
        <v>1000000</v>
      </c>
      <c r="AG69" s="731"/>
      <c r="AH69" s="731">
        <v>1500000</v>
      </c>
      <c r="AI69" s="731"/>
      <c r="AJ69" s="731">
        <v>2000000</v>
      </c>
      <c r="AK69" s="731"/>
      <c r="AL69" s="732">
        <v>2500000</v>
      </c>
      <c r="AM69" s="732"/>
      <c r="AN69" s="732">
        <v>3000000</v>
      </c>
      <c r="AO69" s="732"/>
      <c r="AP69" s="733">
        <v>5000000</v>
      </c>
      <c r="AQ69" s="733"/>
    </row>
    <row r="70" spans="1:29" ht="12.75" customHeight="1">
      <c r="A70" s="485" t="s">
        <v>515</v>
      </c>
      <c r="B70" s="485"/>
      <c r="C70" s="485"/>
      <c r="D70" s="486"/>
      <c r="E70" s="168" t="s">
        <v>516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419"/>
      <c r="U70" s="417"/>
      <c r="V70" s="82" t="s">
        <v>517</v>
      </c>
      <c r="W70" s="506">
        <v>1000</v>
      </c>
      <c r="X70" s="507"/>
      <c r="Y70" s="508"/>
      <c r="Z70" s="417">
        <f>T70*W70</f>
        <v>0</v>
      </c>
      <c r="AA70" s="417"/>
      <c r="AB70" s="417"/>
      <c r="AC70" s="6"/>
    </row>
    <row r="71" spans="1:29" ht="12.75" customHeight="1">
      <c r="A71" s="487"/>
      <c r="B71" s="487"/>
      <c r="C71" s="487"/>
      <c r="D71" s="488"/>
      <c r="E71" s="170" t="s">
        <v>502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415"/>
      <c r="U71" s="406"/>
      <c r="V71" s="84" t="s">
        <v>503</v>
      </c>
      <c r="W71" s="403">
        <v>60</v>
      </c>
      <c r="X71" s="404"/>
      <c r="Y71" s="405"/>
      <c r="Z71" s="406">
        <f>T71*W71</f>
        <v>0</v>
      </c>
      <c r="AA71" s="406"/>
      <c r="AB71" s="406"/>
      <c r="AC71" s="6"/>
    </row>
    <row r="72" spans="1:29" ht="12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529" t="s">
        <v>498</v>
      </c>
      <c r="Y72" s="530"/>
      <c r="Z72" s="425" t="e">
        <f>SUM(Z62:AB71)</f>
        <v>#REF!</v>
      </c>
      <c r="AA72" s="425"/>
      <c r="AB72" s="425"/>
      <c r="AC72" s="6"/>
    </row>
    <row r="73" spans="1:29" ht="12.75" customHeight="1">
      <c r="A73" s="78">
        <v>3</v>
      </c>
      <c r="B73" s="727" t="s">
        <v>518</v>
      </c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6"/>
    </row>
    <row r="74" spans="1:29" ht="12.75" customHeight="1">
      <c r="A74" s="82" t="s">
        <v>519</v>
      </c>
      <c r="B74" s="82"/>
      <c r="C74" s="82"/>
      <c r="D74" s="82"/>
      <c r="E74" s="168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419"/>
      <c r="U74" s="417"/>
      <c r="V74" s="171" t="s">
        <v>520</v>
      </c>
      <c r="W74" s="506">
        <v>200000</v>
      </c>
      <c r="X74" s="507"/>
      <c r="Y74" s="508"/>
      <c r="Z74" s="379">
        <f>T74*W74</f>
        <v>0</v>
      </c>
      <c r="AA74" s="379"/>
      <c r="AB74" s="379"/>
      <c r="AC74" s="6"/>
    </row>
    <row r="75" spans="1:29" ht="12.75" customHeight="1">
      <c r="A75" s="122" t="s">
        <v>521</v>
      </c>
      <c r="B75" s="122"/>
      <c r="C75" s="122"/>
      <c r="D75" s="122"/>
      <c r="E75" s="177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430"/>
      <c r="U75" s="407"/>
      <c r="V75" s="178" t="str">
        <f>V74</f>
        <v>MD</v>
      </c>
      <c r="W75" s="428">
        <f>W74</f>
        <v>200000</v>
      </c>
      <c r="X75" s="407"/>
      <c r="Y75" s="429"/>
      <c r="Z75" s="407">
        <f>T75*W75</f>
        <v>0</v>
      </c>
      <c r="AA75" s="407"/>
      <c r="AB75" s="407"/>
      <c r="AC75" s="6"/>
    </row>
    <row r="76" spans="1:29" ht="12.75" customHeight="1">
      <c r="A76" s="485" t="s">
        <v>522</v>
      </c>
      <c r="B76" s="485"/>
      <c r="C76" s="485"/>
      <c r="D76" s="485"/>
      <c r="E76" s="168" t="s">
        <v>523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419"/>
      <c r="U76" s="417"/>
      <c r="V76" s="171" t="s">
        <v>503</v>
      </c>
      <c r="W76" s="506">
        <v>2000</v>
      </c>
      <c r="X76" s="507"/>
      <c r="Y76" s="508"/>
      <c r="Z76" s="417">
        <f>T76*W76</f>
        <v>0</v>
      </c>
      <c r="AA76" s="417"/>
      <c r="AB76" s="417"/>
      <c r="AC76" s="6"/>
    </row>
    <row r="77" spans="1:29" ht="12.75" customHeight="1">
      <c r="A77" s="487"/>
      <c r="B77" s="487"/>
      <c r="C77" s="487"/>
      <c r="D77" s="487"/>
      <c r="E77" s="170" t="s">
        <v>524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15"/>
      <c r="U77" s="406"/>
      <c r="V77" s="173" t="str">
        <f>V76</f>
        <v>ea</v>
      </c>
      <c r="W77" s="403">
        <v>5000</v>
      </c>
      <c r="X77" s="404"/>
      <c r="Y77" s="405"/>
      <c r="Z77" s="406">
        <f>T77*W77</f>
        <v>0</v>
      </c>
      <c r="AA77" s="406"/>
      <c r="AB77" s="406"/>
      <c r="AC77" s="6"/>
    </row>
    <row r="78" spans="1:29" ht="12.75" customHeight="1">
      <c r="A78" s="129" t="s">
        <v>507</v>
      </c>
      <c r="B78" s="129"/>
      <c r="C78" s="129"/>
      <c r="D78" s="129"/>
      <c r="E78" s="179" t="s">
        <v>525</v>
      </c>
      <c r="F78" s="129"/>
      <c r="G78" s="129"/>
      <c r="H78" s="129"/>
      <c r="I78" s="411"/>
      <c r="J78" s="409"/>
      <c r="K78" s="180" t="s">
        <v>520</v>
      </c>
      <c r="L78" s="526">
        <v>200000</v>
      </c>
      <c r="M78" s="527"/>
      <c r="N78" s="528"/>
      <c r="O78" s="129" t="s">
        <v>526</v>
      </c>
      <c r="P78" s="129"/>
      <c r="Q78" s="129"/>
      <c r="R78" s="129"/>
      <c r="S78" s="129"/>
      <c r="T78" s="411"/>
      <c r="U78" s="409"/>
      <c r="V78" s="180" t="str">
        <f>V74</f>
        <v>MD</v>
      </c>
      <c r="W78" s="526">
        <v>200000</v>
      </c>
      <c r="X78" s="527"/>
      <c r="Y78" s="528"/>
      <c r="Z78" s="409">
        <f>I78*L78+T78*W78</f>
        <v>0</v>
      </c>
      <c r="AA78" s="409"/>
      <c r="AB78" s="409"/>
      <c r="AC78" s="6"/>
    </row>
    <row r="79" spans="1:29" ht="12.75" customHeight="1">
      <c r="A79" s="32" t="s">
        <v>509</v>
      </c>
      <c r="B79" s="32"/>
      <c r="C79" s="32"/>
      <c r="D79" s="32"/>
      <c r="E79" s="58" t="str">
        <f>E78</f>
        <v> 제작</v>
      </c>
      <c r="F79" s="32"/>
      <c r="G79" s="32"/>
      <c r="H79" s="32"/>
      <c r="I79" s="412"/>
      <c r="J79" s="379"/>
      <c r="K79" s="172" t="str">
        <f>K78</f>
        <v>MD</v>
      </c>
      <c r="L79" s="378">
        <f>L78</f>
        <v>200000</v>
      </c>
      <c r="M79" s="379"/>
      <c r="N79" s="380"/>
      <c r="O79" s="32" t="str">
        <f>O78</f>
        <v> 용접</v>
      </c>
      <c r="P79" s="32"/>
      <c r="Q79" s="32"/>
      <c r="R79" s="32"/>
      <c r="S79" s="32"/>
      <c r="T79" s="412"/>
      <c r="U79" s="379"/>
      <c r="V79" s="172" t="str">
        <f>V74</f>
        <v>MD</v>
      </c>
      <c r="W79" s="378">
        <f>W78</f>
        <v>200000</v>
      </c>
      <c r="X79" s="379"/>
      <c r="Y79" s="380"/>
      <c r="Z79" s="379">
        <f>I79*L79+T79*W79</f>
        <v>0</v>
      </c>
      <c r="AA79" s="379"/>
      <c r="AB79" s="379"/>
      <c r="AC79" s="5"/>
    </row>
    <row r="80" spans="1:29" ht="12.75" customHeight="1">
      <c r="A80" s="83" t="s">
        <v>527</v>
      </c>
      <c r="B80" s="83"/>
      <c r="C80" s="83"/>
      <c r="D80" s="83"/>
      <c r="E80" s="169" t="str">
        <f>E78</f>
        <v> 제작</v>
      </c>
      <c r="F80" s="83"/>
      <c r="G80" s="83"/>
      <c r="H80" s="83"/>
      <c r="I80" s="412"/>
      <c r="J80" s="379"/>
      <c r="K80" s="172" t="str">
        <f>K78</f>
        <v>MD</v>
      </c>
      <c r="L80" s="378">
        <f>L78</f>
        <v>200000</v>
      </c>
      <c r="M80" s="379"/>
      <c r="N80" s="380"/>
      <c r="O80" s="83" t="str">
        <f>O78</f>
        <v> 용접</v>
      </c>
      <c r="P80" s="83"/>
      <c r="Q80" s="83"/>
      <c r="R80" s="83"/>
      <c r="S80" s="83"/>
      <c r="T80" s="412"/>
      <c r="U80" s="379"/>
      <c r="V80" s="172" t="str">
        <f>V74</f>
        <v>MD</v>
      </c>
      <c r="W80" s="378">
        <f>W78</f>
        <v>200000</v>
      </c>
      <c r="X80" s="379"/>
      <c r="Y80" s="380"/>
      <c r="Z80" s="379">
        <f>I80*L80+T80*W80</f>
        <v>0</v>
      </c>
      <c r="AA80" s="379"/>
      <c r="AB80" s="379"/>
      <c r="AC80" s="5"/>
    </row>
    <row r="81" spans="1:29" ht="12.75" customHeight="1">
      <c r="A81" s="83" t="s">
        <v>528</v>
      </c>
      <c r="B81" s="83"/>
      <c r="C81" s="83"/>
      <c r="D81" s="83"/>
      <c r="E81" s="169" t="str">
        <f>E78</f>
        <v> 제작</v>
      </c>
      <c r="F81" s="83"/>
      <c r="G81" s="83"/>
      <c r="H81" s="83"/>
      <c r="I81" s="412"/>
      <c r="J81" s="379"/>
      <c r="K81" s="172" t="str">
        <f>K78</f>
        <v>MD</v>
      </c>
      <c r="L81" s="378">
        <f>L78</f>
        <v>200000</v>
      </c>
      <c r="M81" s="379"/>
      <c r="N81" s="380"/>
      <c r="O81" s="83" t="str">
        <f>O78</f>
        <v> 용접</v>
      </c>
      <c r="P81" s="83"/>
      <c r="Q81" s="83"/>
      <c r="R81" s="83"/>
      <c r="S81" s="83"/>
      <c r="T81" s="412"/>
      <c r="U81" s="379"/>
      <c r="V81" s="172" t="str">
        <f>V74</f>
        <v>MD</v>
      </c>
      <c r="W81" s="378">
        <f>W78</f>
        <v>200000</v>
      </c>
      <c r="X81" s="379"/>
      <c r="Y81" s="380"/>
      <c r="Z81" s="379">
        <f>I81*L81+T81*W81</f>
        <v>0</v>
      </c>
      <c r="AA81" s="379"/>
      <c r="AB81" s="379"/>
      <c r="AC81" s="5"/>
    </row>
    <row r="82" spans="1:28" ht="12.75" customHeight="1">
      <c r="A82" s="32" t="s">
        <v>529</v>
      </c>
      <c r="B82" s="32"/>
      <c r="C82" s="32"/>
      <c r="D82" s="32"/>
      <c r="E82" s="58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12">
        <v>7</v>
      </c>
      <c r="U82" s="379"/>
      <c r="V82" s="172" t="s">
        <v>530</v>
      </c>
      <c r="W82" s="381"/>
      <c r="X82" s="382"/>
      <c r="Y82" s="383"/>
      <c r="Z82" s="379">
        <f aca="true" t="shared" si="8" ref="Z82:Z88">T82*W82</f>
        <v>0</v>
      </c>
      <c r="AA82" s="379"/>
      <c r="AB82" s="379"/>
    </row>
    <row r="83" spans="1:28" ht="12.75" customHeight="1">
      <c r="A83" s="32" t="s">
        <v>531</v>
      </c>
      <c r="B83" s="32"/>
      <c r="C83" s="32"/>
      <c r="D83" s="32"/>
      <c r="E83" s="58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12"/>
      <c r="U83" s="379"/>
      <c r="V83" s="172" t="s">
        <v>532</v>
      </c>
      <c r="W83" s="381">
        <v>700</v>
      </c>
      <c r="X83" s="382"/>
      <c r="Y83" s="383"/>
      <c r="Z83" s="379">
        <f t="shared" si="8"/>
        <v>0</v>
      </c>
      <c r="AA83" s="379"/>
      <c r="AB83" s="379"/>
    </row>
    <row r="84" spans="1:28" ht="12.75" customHeight="1">
      <c r="A84" s="32" t="s">
        <v>533</v>
      </c>
      <c r="B84" s="32"/>
      <c r="C84" s="32"/>
      <c r="D84" s="32"/>
      <c r="E84" s="58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412"/>
      <c r="U84" s="379"/>
      <c r="V84" s="172" t="s">
        <v>532</v>
      </c>
      <c r="W84" s="381">
        <v>500</v>
      </c>
      <c r="X84" s="382"/>
      <c r="Y84" s="383"/>
      <c r="Z84" s="379">
        <f t="shared" si="8"/>
        <v>0</v>
      </c>
      <c r="AA84" s="379"/>
      <c r="AB84" s="379"/>
    </row>
    <row r="85" spans="1:28" ht="12.75" customHeight="1">
      <c r="A85" s="32" t="s">
        <v>534</v>
      </c>
      <c r="B85" s="32"/>
      <c r="C85" s="32"/>
      <c r="D85" s="32"/>
      <c r="E85" s="58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12"/>
      <c r="U85" s="379"/>
      <c r="V85" s="172" t="s">
        <v>532</v>
      </c>
      <c r="W85" s="381">
        <v>1500</v>
      </c>
      <c r="X85" s="382"/>
      <c r="Y85" s="383"/>
      <c r="Z85" s="379">
        <f t="shared" si="8"/>
        <v>0</v>
      </c>
      <c r="AA85" s="379"/>
      <c r="AB85" s="379"/>
    </row>
    <row r="86" spans="1:29" ht="12.75" customHeight="1">
      <c r="A86" s="83"/>
      <c r="B86" s="83"/>
      <c r="C86" s="83"/>
      <c r="D86" s="83"/>
      <c r="E86" s="16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412"/>
      <c r="U86" s="379"/>
      <c r="V86" s="172"/>
      <c r="W86" s="381"/>
      <c r="X86" s="382"/>
      <c r="Y86" s="383"/>
      <c r="Z86" s="379">
        <f t="shared" si="8"/>
        <v>0</v>
      </c>
      <c r="AA86" s="379"/>
      <c r="AB86" s="379"/>
      <c r="AC86" s="5"/>
    </row>
    <row r="87" spans="1:29" ht="12.75" customHeight="1">
      <c r="A87" s="83"/>
      <c r="B87" s="83"/>
      <c r="C87" s="83"/>
      <c r="D87" s="83"/>
      <c r="E87" s="177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430"/>
      <c r="U87" s="407"/>
      <c r="V87" s="178"/>
      <c r="W87" s="497"/>
      <c r="X87" s="498"/>
      <c r="Y87" s="499"/>
      <c r="Z87" s="379">
        <f t="shared" si="8"/>
        <v>0</v>
      </c>
      <c r="AA87" s="379"/>
      <c r="AB87" s="379"/>
      <c r="AC87" s="5"/>
    </row>
    <row r="88" spans="1:29" ht="12.75" customHeight="1">
      <c r="A88" s="83"/>
      <c r="B88" s="83"/>
      <c r="C88" s="83"/>
      <c r="D88" s="83"/>
      <c r="E88" s="170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415"/>
      <c r="U88" s="406"/>
      <c r="V88" s="173"/>
      <c r="W88" s="403"/>
      <c r="X88" s="404"/>
      <c r="Y88" s="405"/>
      <c r="Z88" s="379">
        <f t="shared" si="8"/>
        <v>0</v>
      </c>
      <c r="AA88" s="379"/>
      <c r="AB88" s="379"/>
      <c r="AC88" s="5"/>
    </row>
    <row r="89" spans="1:29" ht="12.7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529" t="s">
        <v>498</v>
      </c>
      <c r="Y89" s="530"/>
      <c r="Z89" s="425">
        <f>SUM(Z74:AB86)</f>
        <v>0</v>
      </c>
      <c r="AA89" s="425"/>
      <c r="AB89" s="425"/>
      <c r="AC89" s="6"/>
    </row>
    <row r="90" spans="1:32" ht="12.75" customHeight="1">
      <c r="A90" s="78">
        <v>4</v>
      </c>
      <c r="B90" s="727" t="s">
        <v>535</v>
      </c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D90" s="152" t="s">
        <v>536</v>
      </c>
      <c r="AF90" s="152" t="s">
        <v>537</v>
      </c>
    </row>
    <row r="91" spans="1:29" ht="12.75" customHeight="1">
      <c r="A91" s="485" t="s">
        <v>538</v>
      </c>
      <c r="B91" s="485"/>
      <c r="C91" s="485"/>
      <c r="D91" s="485"/>
      <c r="E91" s="52" t="s">
        <v>539</v>
      </c>
      <c r="F91" s="31"/>
      <c r="G91" s="31"/>
      <c r="H91" s="31"/>
      <c r="I91" s="419"/>
      <c r="J91" s="417"/>
      <c r="K91" s="82" t="s">
        <v>503</v>
      </c>
      <c r="L91" s="506"/>
      <c r="M91" s="507"/>
      <c r="N91" s="525"/>
      <c r="O91" s="519" t="s">
        <v>540</v>
      </c>
      <c r="P91" s="520"/>
      <c r="Q91" s="520"/>
      <c r="R91" s="52" t="s">
        <v>507</v>
      </c>
      <c r="S91" s="36"/>
      <c r="T91" s="419">
        <f>AD91+AF91</f>
        <v>0</v>
      </c>
      <c r="U91" s="417"/>
      <c r="V91" s="95" t="s">
        <v>541</v>
      </c>
      <c r="W91" s="506">
        <v>12000</v>
      </c>
      <c r="X91" s="507"/>
      <c r="Y91" s="508"/>
      <c r="Z91" s="379">
        <f aca="true" t="shared" si="9" ref="Z91:Z99">I91*L91+T91*W91</f>
        <v>0</v>
      </c>
      <c r="AA91" s="379"/>
      <c r="AB91" s="379"/>
      <c r="AC91" s="6"/>
    </row>
    <row r="92" spans="1:28" ht="12.75" customHeight="1">
      <c r="A92" s="495"/>
      <c r="B92" s="495"/>
      <c r="C92" s="495"/>
      <c r="D92" s="495"/>
      <c r="E92" s="58" t="s">
        <v>542</v>
      </c>
      <c r="F92" s="32"/>
      <c r="G92" s="32"/>
      <c r="H92" s="32"/>
      <c r="I92" s="412"/>
      <c r="J92" s="379"/>
      <c r="K92" s="83" t="str">
        <f>K91</f>
        <v>ea</v>
      </c>
      <c r="L92" s="381"/>
      <c r="M92" s="382"/>
      <c r="N92" s="482"/>
      <c r="O92" s="521"/>
      <c r="P92" s="522"/>
      <c r="Q92" s="522"/>
      <c r="R92" s="58" t="s">
        <v>512</v>
      </c>
      <c r="S92" s="38"/>
      <c r="T92" s="412"/>
      <c r="U92" s="379"/>
      <c r="V92" s="96" t="str">
        <f>V91</f>
        <v>장</v>
      </c>
      <c r="W92" s="378">
        <f>W91</f>
        <v>12000</v>
      </c>
      <c r="X92" s="379"/>
      <c r="Y92" s="380"/>
      <c r="Z92" s="379">
        <f t="shared" si="9"/>
        <v>0</v>
      </c>
      <c r="AA92" s="379"/>
      <c r="AB92" s="379"/>
    </row>
    <row r="93" spans="1:28" ht="12.75" customHeight="1">
      <c r="A93" s="465" t="s">
        <v>543</v>
      </c>
      <c r="B93" s="465"/>
      <c r="C93" s="465"/>
      <c r="D93" s="709"/>
      <c r="E93" s="169" t="s">
        <v>522</v>
      </c>
      <c r="F93" s="83"/>
      <c r="G93" s="83"/>
      <c r="H93" s="83"/>
      <c r="I93" s="412"/>
      <c r="J93" s="379"/>
      <c r="K93" s="83" t="s">
        <v>503</v>
      </c>
      <c r="L93" s="381">
        <v>1000</v>
      </c>
      <c r="M93" s="382"/>
      <c r="N93" s="482"/>
      <c r="O93" s="523"/>
      <c r="P93" s="524"/>
      <c r="Q93" s="524"/>
      <c r="R93" s="58" t="s">
        <v>528</v>
      </c>
      <c r="S93" s="38"/>
      <c r="T93" s="412"/>
      <c r="U93" s="379"/>
      <c r="V93" s="96" t="str">
        <f>V91</f>
        <v>장</v>
      </c>
      <c r="W93" s="378">
        <f>W91</f>
        <v>12000</v>
      </c>
      <c r="X93" s="379"/>
      <c r="Y93" s="380"/>
      <c r="Z93" s="379">
        <f t="shared" si="9"/>
        <v>0</v>
      </c>
      <c r="AA93" s="379"/>
      <c r="AB93" s="379"/>
    </row>
    <row r="94" spans="1:29" ht="12.75" customHeight="1">
      <c r="A94" s="531"/>
      <c r="B94" s="531"/>
      <c r="C94" s="531"/>
      <c r="D94" s="534"/>
      <c r="E94" s="169" t="s">
        <v>512</v>
      </c>
      <c r="F94" s="83"/>
      <c r="G94" s="83"/>
      <c r="H94" s="83"/>
      <c r="I94" s="412"/>
      <c r="J94" s="379"/>
      <c r="K94" s="83" t="str">
        <f>K93</f>
        <v>ea</v>
      </c>
      <c r="L94" s="378">
        <f>L93</f>
        <v>1000</v>
      </c>
      <c r="M94" s="379"/>
      <c r="N94" s="540"/>
      <c r="O94" s="83" t="s">
        <v>544</v>
      </c>
      <c r="P94" s="83"/>
      <c r="Q94" s="83"/>
      <c r="R94" s="169"/>
      <c r="S94" s="174"/>
      <c r="T94" s="412"/>
      <c r="U94" s="379"/>
      <c r="V94" s="83" t="s">
        <v>517</v>
      </c>
      <c r="W94" s="381">
        <v>7000</v>
      </c>
      <c r="X94" s="382"/>
      <c r="Y94" s="383"/>
      <c r="Z94" s="379">
        <f t="shared" si="9"/>
        <v>0</v>
      </c>
      <c r="AA94" s="379"/>
      <c r="AB94" s="379"/>
      <c r="AC94" s="6"/>
    </row>
    <row r="95" spans="1:29" ht="12.75" customHeight="1">
      <c r="A95" s="495"/>
      <c r="B95" s="495"/>
      <c r="C95" s="495"/>
      <c r="D95" s="710"/>
      <c r="E95" s="169" t="s">
        <v>528</v>
      </c>
      <c r="F95" s="83"/>
      <c r="G95" s="83"/>
      <c r="H95" s="83"/>
      <c r="I95" s="412"/>
      <c r="J95" s="379"/>
      <c r="K95" s="83" t="str">
        <f>K93</f>
        <v>ea</v>
      </c>
      <c r="L95" s="378">
        <f>L93</f>
        <v>1000</v>
      </c>
      <c r="M95" s="379"/>
      <c r="N95" s="540"/>
      <c r="O95" s="624" t="s">
        <v>545</v>
      </c>
      <c r="P95" s="625"/>
      <c r="Q95" s="625"/>
      <c r="R95" s="176" t="s">
        <v>546</v>
      </c>
      <c r="S95" s="174"/>
      <c r="T95" s="412"/>
      <c r="U95" s="379"/>
      <c r="V95" s="96" t="s">
        <v>547</v>
      </c>
      <c r="W95" s="381"/>
      <c r="X95" s="382"/>
      <c r="Y95" s="383"/>
      <c r="Z95" s="379">
        <f t="shared" si="9"/>
        <v>0</v>
      </c>
      <c r="AA95" s="379"/>
      <c r="AB95" s="379"/>
      <c r="AC95" s="6"/>
    </row>
    <row r="96" spans="1:29" ht="12.75" customHeight="1">
      <c r="A96" s="625" t="s">
        <v>548</v>
      </c>
      <c r="B96" s="625"/>
      <c r="C96" s="625"/>
      <c r="D96" s="625"/>
      <c r="E96" s="58" t="s">
        <v>507</v>
      </c>
      <c r="F96" s="32"/>
      <c r="G96" s="32"/>
      <c r="H96" s="32"/>
      <c r="I96" s="412"/>
      <c r="J96" s="379"/>
      <c r="K96" s="83" t="s">
        <v>517</v>
      </c>
      <c r="L96" s="381">
        <v>5000</v>
      </c>
      <c r="M96" s="382"/>
      <c r="N96" s="482"/>
      <c r="O96" s="523"/>
      <c r="P96" s="524"/>
      <c r="Q96" s="524"/>
      <c r="R96" s="176" t="s">
        <v>549</v>
      </c>
      <c r="S96" s="174"/>
      <c r="T96" s="412"/>
      <c r="U96" s="379"/>
      <c r="V96" s="96" t="str">
        <f>V95</f>
        <v>식</v>
      </c>
      <c r="W96" s="381"/>
      <c r="X96" s="382"/>
      <c r="Y96" s="383"/>
      <c r="Z96" s="379">
        <f t="shared" si="9"/>
        <v>0</v>
      </c>
      <c r="AA96" s="379"/>
      <c r="AB96" s="379"/>
      <c r="AC96" s="6"/>
    </row>
    <row r="97" spans="1:28" ht="12.75" customHeight="1">
      <c r="A97" s="522"/>
      <c r="B97" s="522"/>
      <c r="C97" s="522"/>
      <c r="D97" s="522"/>
      <c r="E97" s="169" t="s">
        <v>512</v>
      </c>
      <c r="F97" s="83"/>
      <c r="G97" s="83"/>
      <c r="H97" s="83"/>
      <c r="I97" s="412"/>
      <c r="J97" s="379"/>
      <c r="K97" s="83" t="str">
        <f>K96</f>
        <v>m</v>
      </c>
      <c r="L97" s="378">
        <f>L96</f>
        <v>5000</v>
      </c>
      <c r="M97" s="379"/>
      <c r="N97" s="540"/>
      <c r="O97" s="32" t="s">
        <v>550</v>
      </c>
      <c r="P97" s="32"/>
      <c r="Q97" s="32"/>
      <c r="R97" s="58"/>
      <c r="S97" s="38"/>
      <c r="T97" s="412"/>
      <c r="U97" s="379"/>
      <c r="V97" s="96" t="s">
        <v>547</v>
      </c>
      <c r="W97" s="381"/>
      <c r="X97" s="382"/>
      <c r="Y97" s="383"/>
      <c r="Z97" s="379">
        <f t="shared" si="9"/>
        <v>0</v>
      </c>
      <c r="AA97" s="379"/>
      <c r="AB97" s="379"/>
    </row>
    <row r="98" spans="1:29" ht="12.75" customHeight="1">
      <c r="A98" s="522"/>
      <c r="B98" s="522"/>
      <c r="C98" s="522"/>
      <c r="D98" s="522"/>
      <c r="E98" s="169" t="s">
        <v>528</v>
      </c>
      <c r="F98" s="83"/>
      <c r="G98" s="83"/>
      <c r="H98" s="83"/>
      <c r="I98" s="412"/>
      <c r="J98" s="379"/>
      <c r="K98" s="83" t="str">
        <f>K96</f>
        <v>m</v>
      </c>
      <c r="L98" s="378">
        <f>L96</f>
        <v>5000</v>
      </c>
      <c r="M98" s="379"/>
      <c r="N98" s="540"/>
      <c r="O98" s="83" t="s">
        <v>551</v>
      </c>
      <c r="P98" s="83"/>
      <c r="Q98" s="83"/>
      <c r="R98" s="169"/>
      <c r="S98" s="174"/>
      <c r="T98" s="412"/>
      <c r="U98" s="379"/>
      <c r="V98" s="83" t="s">
        <v>520</v>
      </c>
      <c r="W98" s="381">
        <v>200000</v>
      </c>
      <c r="X98" s="382"/>
      <c r="Y98" s="383"/>
      <c r="Z98" s="379">
        <f t="shared" si="9"/>
        <v>0</v>
      </c>
      <c r="AA98" s="379"/>
      <c r="AB98" s="379"/>
      <c r="AC98" s="6"/>
    </row>
    <row r="99" spans="1:30" ht="12.75" customHeight="1">
      <c r="A99" s="711"/>
      <c r="B99" s="711"/>
      <c r="C99" s="711"/>
      <c r="D99" s="711"/>
      <c r="E99" s="170"/>
      <c r="F99" s="84"/>
      <c r="G99" s="84"/>
      <c r="H99" s="84"/>
      <c r="I99" s="415"/>
      <c r="J99" s="406"/>
      <c r="K99" s="84" t="str">
        <f>K97</f>
        <v>m</v>
      </c>
      <c r="L99" s="627">
        <f>L96</f>
        <v>5000</v>
      </c>
      <c r="M99" s="427"/>
      <c r="N99" s="628"/>
      <c r="O99" s="7"/>
      <c r="P99" s="7"/>
      <c r="Q99" s="7"/>
      <c r="R99" s="118"/>
      <c r="S99" s="175"/>
      <c r="T99" s="415"/>
      <c r="U99" s="406"/>
      <c r="V99" s="84"/>
      <c r="W99" s="403"/>
      <c r="X99" s="404"/>
      <c r="Y99" s="405"/>
      <c r="Z99" s="379">
        <f t="shared" si="9"/>
        <v>0</v>
      </c>
      <c r="AA99" s="379"/>
      <c r="AB99" s="379"/>
      <c r="AC99" s="5"/>
      <c r="AD99" s="2"/>
    </row>
    <row r="100" spans="1:29" ht="12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529" t="s">
        <v>498</v>
      </c>
      <c r="Y100" s="530"/>
      <c r="Z100" s="425">
        <f>SUM(Z91:AB99)</f>
        <v>0</v>
      </c>
      <c r="AA100" s="425"/>
      <c r="AB100" s="425"/>
      <c r="AC100" s="6"/>
    </row>
    <row r="101" spans="1:29" ht="12.75" customHeight="1">
      <c r="A101" s="78">
        <v>5</v>
      </c>
      <c r="B101" s="727" t="s">
        <v>552</v>
      </c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6"/>
    </row>
    <row r="102" spans="1:29" ht="12.75" customHeight="1">
      <c r="A102" s="82" t="s">
        <v>553</v>
      </c>
      <c r="B102" s="82"/>
      <c r="C102" s="82"/>
      <c r="D102" s="82"/>
      <c r="E102" s="728"/>
      <c r="F102" s="728"/>
      <c r="G102" s="82" t="s">
        <v>554</v>
      </c>
      <c r="H102" s="82"/>
      <c r="I102" s="91"/>
      <c r="J102" s="605">
        <v>10000</v>
      </c>
      <c r="K102" s="605"/>
      <c r="L102" s="417">
        <f>E102*J102</f>
        <v>0</v>
      </c>
      <c r="M102" s="417"/>
      <c r="N102" s="417"/>
      <c r="O102" s="92" t="s">
        <v>555</v>
      </c>
      <c r="P102" s="82"/>
      <c r="Q102" s="82"/>
      <c r="R102" s="82"/>
      <c r="S102" s="728"/>
      <c r="T102" s="728"/>
      <c r="U102" s="82" t="s">
        <v>554</v>
      </c>
      <c r="V102" s="82"/>
      <c r="W102" s="91"/>
      <c r="X102" s="605">
        <v>15000</v>
      </c>
      <c r="Y102" s="605"/>
      <c r="Z102" s="606">
        <f>S102*X102</f>
        <v>0</v>
      </c>
      <c r="AA102" s="606"/>
      <c r="AB102" s="606"/>
      <c r="AC102" s="6"/>
    </row>
    <row r="103" spans="1:29" ht="12.75" customHeight="1">
      <c r="A103" s="84" t="s">
        <v>556</v>
      </c>
      <c r="B103" s="84"/>
      <c r="C103" s="84"/>
      <c r="D103" s="84"/>
      <c r="E103" s="610"/>
      <c r="F103" s="610"/>
      <c r="G103" s="84" t="s">
        <v>503</v>
      </c>
      <c r="H103" s="84"/>
      <c r="I103" s="93"/>
      <c r="J103" s="626">
        <v>2000</v>
      </c>
      <c r="K103" s="626"/>
      <c r="L103" s="406">
        <f>E103*J103</f>
        <v>0</v>
      </c>
      <c r="M103" s="406"/>
      <c r="N103" s="406"/>
      <c r="O103" s="94"/>
      <c r="P103" s="84"/>
      <c r="Q103" s="84"/>
      <c r="R103" s="84"/>
      <c r="S103" s="84"/>
      <c r="T103" s="84"/>
      <c r="U103" s="84"/>
      <c r="V103" s="84"/>
      <c r="W103" s="93"/>
      <c r="X103" s="84"/>
      <c r="Y103" s="93"/>
      <c r="Z103" s="84"/>
      <c r="AA103" s="84"/>
      <c r="AB103" s="84"/>
      <c r="AC103" s="5"/>
    </row>
    <row r="104" spans="1:29" ht="12.7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529" t="s">
        <v>498</v>
      </c>
      <c r="Y104" s="530"/>
      <c r="Z104" s="425">
        <f>L102+L103+Z102</f>
        <v>0</v>
      </c>
      <c r="AA104" s="425"/>
      <c r="AB104" s="425"/>
      <c r="AC104" s="6"/>
    </row>
    <row r="105" spans="1:29" ht="12.75" customHeight="1">
      <c r="A105" s="78">
        <v>6</v>
      </c>
      <c r="B105" s="727" t="s">
        <v>557</v>
      </c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6"/>
    </row>
    <row r="106" spans="1:29" ht="12.75" customHeight="1">
      <c r="A106" s="5" t="s">
        <v>558</v>
      </c>
      <c r="B106" s="5"/>
      <c r="C106" s="5"/>
      <c r="D106" s="5"/>
      <c r="E106" s="622">
        <v>10</v>
      </c>
      <c r="F106" s="622"/>
      <c r="G106" s="5" t="s">
        <v>520</v>
      </c>
      <c r="H106" s="5"/>
      <c r="I106" s="621">
        <v>200000</v>
      </c>
      <c r="J106" s="621"/>
      <c r="K106" s="621"/>
      <c r="L106" s="633">
        <f>E106*I106</f>
        <v>2000000</v>
      </c>
      <c r="M106" s="633"/>
      <c r="N106" s="633"/>
      <c r="O106" s="86" t="s">
        <v>559</v>
      </c>
      <c r="P106" s="5"/>
      <c r="Q106" s="5"/>
      <c r="R106" s="5"/>
      <c r="S106" s="622">
        <v>1</v>
      </c>
      <c r="T106" s="622"/>
      <c r="U106" s="88" t="s">
        <v>547</v>
      </c>
      <c r="V106" s="5"/>
      <c r="W106" s="633" t="e">
        <f>IF(Q59&lt;5000,300000,Q59*100)</f>
        <v>#VALUE!</v>
      </c>
      <c r="X106" s="633"/>
      <c r="Y106" s="633"/>
      <c r="Z106" s="633" t="e">
        <f>S106*W106</f>
        <v>#VALUE!</v>
      </c>
      <c r="AA106" s="633"/>
      <c r="AB106" s="633"/>
      <c r="AC106" s="6"/>
    </row>
    <row r="107" spans="1:29" ht="12.75" customHeight="1">
      <c r="A107" s="5" t="s">
        <v>560</v>
      </c>
      <c r="B107" s="5"/>
      <c r="C107" s="5"/>
      <c r="D107" s="5"/>
      <c r="E107" s="620">
        <v>1</v>
      </c>
      <c r="F107" s="620"/>
      <c r="G107" s="88" t="s">
        <v>547</v>
      </c>
      <c r="H107" s="5"/>
      <c r="I107" s="656">
        <v>5000000</v>
      </c>
      <c r="J107" s="656"/>
      <c r="K107" s="656"/>
      <c r="L107" s="657">
        <f>E107*I107</f>
        <v>5000000</v>
      </c>
      <c r="M107" s="657"/>
      <c r="N107" s="658"/>
      <c r="O107" s="8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</row>
    <row r="108" spans="1:37" ht="12.7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529" t="s">
        <v>498</v>
      </c>
      <c r="Y108" s="530"/>
      <c r="Z108" s="425" t="e">
        <f>L106+L107+Z106</f>
        <v>#VALUE!</v>
      </c>
      <c r="AA108" s="425"/>
      <c r="AB108" s="425"/>
      <c r="AC108" s="6"/>
      <c r="AD108" s="614" t="s">
        <v>561</v>
      </c>
      <c r="AE108" s="615"/>
      <c r="AF108" s="615"/>
      <c r="AG108" s="615"/>
      <c r="AH108" s="615"/>
      <c r="AI108" s="615"/>
      <c r="AJ108" s="615"/>
      <c r="AK108" s="615"/>
    </row>
    <row r="109" spans="1:37" ht="12.75" customHeight="1">
      <c r="A109" s="78">
        <v>7</v>
      </c>
      <c r="B109" s="727" t="s">
        <v>562</v>
      </c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5"/>
      <c r="AD109" s="109" t="str">
        <f>B11</f>
        <v>자 재 비</v>
      </c>
      <c r="AE109" s="31"/>
      <c r="AF109" s="417" t="e">
        <f>Z59</f>
        <v>#VALUE!</v>
      </c>
      <c r="AG109" s="417"/>
      <c r="AH109" s="417"/>
      <c r="AI109" s="616" t="e">
        <f>AF109/AF119*100</f>
        <v>#VALUE!</v>
      </c>
      <c r="AJ109" s="616"/>
      <c r="AK109" s="31" t="s">
        <v>530</v>
      </c>
    </row>
    <row r="110" spans="1:37" ht="12.75" customHeight="1">
      <c r="A110" s="82" t="s">
        <v>563</v>
      </c>
      <c r="B110" s="82"/>
      <c r="C110" s="82"/>
      <c r="D110" s="82"/>
      <c r="E110" s="608">
        <v>1</v>
      </c>
      <c r="F110" s="608"/>
      <c r="G110" s="95" t="s">
        <v>547</v>
      </c>
      <c r="H110" s="82"/>
      <c r="I110" s="605">
        <v>1000000</v>
      </c>
      <c r="J110" s="605"/>
      <c r="K110" s="605"/>
      <c r="L110" s="606">
        <f>E110*I110</f>
        <v>1000000</v>
      </c>
      <c r="M110" s="606"/>
      <c r="N110" s="607"/>
      <c r="O110" s="92" t="s">
        <v>564</v>
      </c>
      <c r="P110" s="82"/>
      <c r="Q110" s="82"/>
      <c r="R110" s="82"/>
      <c r="S110" s="608">
        <v>0</v>
      </c>
      <c r="T110" s="608"/>
      <c r="U110" s="95" t="s">
        <v>547</v>
      </c>
      <c r="V110" s="82"/>
      <c r="W110" s="605">
        <v>3000000</v>
      </c>
      <c r="X110" s="605"/>
      <c r="Y110" s="605"/>
      <c r="Z110" s="606">
        <f>S110*W110</f>
        <v>0</v>
      </c>
      <c r="AA110" s="606"/>
      <c r="AB110" s="606"/>
      <c r="AC110" s="5"/>
      <c r="AD110" s="110" t="str">
        <f>B61</f>
        <v>가 공 비</v>
      </c>
      <c r="AE110" s="32"/>
      <c r="AF110" s="379" t="e">
        <f>Z72</f>
        <v>#REF!</v>
      </c>
      <c r="AG110" s="379"/>
      <c r="AH110" s="379"/>
      <c r="AI110" s="602" t="e">
        <f>AF110/AF119*100</f>
        <v>#REF!</v>
      </c>
      <c r="AJ110" s="602"/>
      <c r="AK110" s="32" t="s">
        <v>530</v>
      </c>
    </row>
    <row r="111" spans="1:37" ht="12.75" customHeight="1">
      <c r="A111" s="83" t="s">
        <v>565</v>
      </c>
      <c r="B111" s="83"/>
      <c r="C111" s="83"/>
      <c r="D111" s="83"/>
      <c r="E111" s="609">
        <v>1</v>
      </c>
      <c r="F111" s="609"/>
      <c r="G111" s="96" t="s">
        <v>547</v>
      </c>
      <c r="H111" s="83"/>
      <c r="I111" s="611">
        <v>1000000</v>
      </c>
      <c r="J111" s="611"/>
      <c r="K111" s="611"/>
      <c r="L111" s="612">
        <f>E111*I111</f>
        <v>1000000</v>
      </c>
      <c r="M111" s="612"/>
      <c r="N111" s="613"/>
      <c r="O111" s="97" t="s">
        <v>566</v>
      </c>
      <c r="P111" s="83"/>
      <c r="Q111" s="83"/>
      <c r="R111" s="83"/>
      <c r="S111" s="609">
        <v>0</v>
      </c>
      <c r="T111" s="609"/>
      <c r="U111" s="96" t="s">
        <v>547</v>
      </c>
      <c r="V111" s="83"/>
      <c r="W111" s="611">
        <v>5000000</v>
      </c>
      <c r="X111" s="611"/>
      <c r="Y111" s="611"/>
      <c r="Z111" s="612">
        <f>S111*W111</f>
        <v>0</v>
      </c>
      <c r="AA111" s="612"/>
      <c r="AB111" s="612"/>
      <c r="AC111" s="5"/>
      <c r="AD111" s="110" t="str">
        <f>B73</f>
        <v>제 작 비</v>
      </c>
      <c r="AE111" s="32"/>
      <c r="AF111" s="379">
        <f>Z89</f>
        <v>0</v>
      </c>
      <c r="AG111" s="379"/>
      <c r="AH111" s="379"/>
      <c r="AI111" s="602" t="e">
        <f>AF111/AF119*100</f>
        <v>#VALUE!</v>
      </c>
      <c r="AJ111" s="602"/>
      <c r="AK111" s="32" t="s">
        <v>530</v>
      </c>
    </row>
    <row r="112" spans="1:37" ht="12.75" customHeight="1">
      <c r="A112" s="83" t="s">
        <v>567</v>
      </c>
      <c r="B112" s="83"/>
      <c r="C112" s="83"/>
      <c r="D112" s="83"/>
      <c r="E112" s="609">
        <v>1</v>
      </c>
      <c r="F112" s="609"/>
      <c r="G112" s="96" t="s">
        <v>547</v>
      </c>
      <c r="H112" s="83"/>
      <c r="I112" s="611">
        <v>1000000</v>
      </c>
      <c r="J112" s="611"/>
      <c r="K112" s="611"/>
      <c r="L112" s="612">
        <f>E112*I112</f>
        <v>1000000</v>
      </c>
      <c r="M112" s="612"/>
      <c r="N112" s="613"/>
      <c r="O112" s="97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6"/>
      <c r="AD112" s="110" t="str">
        <f>B90</f>
        <v>검 사 비</v>
      </c>
      <c r="AE112" s="32"/>
      <c r="AF112" s="379">
        <f>Z100</f>
        <v>0</v>
      </c>
      <c r="AG112" s="379"/>
      <c r="AH112" s="379"/>
      <c r="AI112" s="602" t="e">
        <f>AF112/AF119*100</f>
        <v>#VALUE!</v>
      </c>
      <c r="AJ112" s="602"/>
      <c r="AK112" s="32" t="s">
        <v>530</v>
      </c>
    </row>
    <row r="113" spans="1:37" ht="12.75" customHeight="1">
      <c r="A113" s="84" t="s">
        <v>568</v>
      </c>
      <c r="B113" s="84"/>
      <c r="C113" s="84"/>
      <c r="D113" s="84"/>
      <c r="E113" s="610">
        <v>1</v>
      </c>
      <c r="F113" s="610"/>
      <c r="G113" s="98" t="s">
        <v>547</v>
      </c>
      <c r="H113" s="84"/>
      <c r="I113" s="626">
        <v>2000000</v>
      </c>
      <c r="J113" s="626"/>
      <c r="K113" s="626"/>
      <c r="L113" s="603">
        <f>E113*I113</f>
        <v>2000000</v>
      </c>
      <c r="M113" s="603"/>
      <c r="N113" s="604"/>
      <c r="O113" s="9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5"/>
      <c r="AD113" s="110" t="str">
        <f>B101</f>
        <v>포 장 비</v>
      </c>
      <c r="AE113" s="32"/>
      <c r="AF113" s="379">
        <f>Z104</f>
        <v>0</v>
      </c>
      <c r="AG113" s="379"/>
      <c r="AH113" s="379"/>
      <c r="AI113" s="602" t="e">
        <f>AF113/AF119*100</f>
        <v>#VALUE!</v>
      </c>
      <c r="AJ113" s="602"/>
      <c r="AK113" s="32" t="s">
        <v>530</v>
      </c>
    </row>
    <row r="114" spans="1:37" ht="12.7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529" t="s">
        <v>498</v>
      </c>
      <c r="Y114" s="530"/>
      <c r="Z114" s="425">
        <f>L110+L111+L112+L113+Z110+Z111</f>
        <v>5000000</v>
      </c>
      <c r="AA114" s="425"/>
      <c r="AB114" s="425"/>
      <c r="AC114" s="6"/>
      <c r="AD114" s="110" t="str">
        <f>B105</f>
        <v>운 반 비</v>
      </c>
      <c r="AE114" s="32"/>
      <c r="AF114" s="379" t="e">
        <f>Z108</f>
        <v>#VALUE!</v>
      </c>
      <c r="AG114" s="379"/>
      <c r="AH114" s="379"/>
      <c r="AI114" s="602" t="e">
        <f>AF114/AF119*100</f>
        <v>#VALUE!</v>
      </c>
      <c r="AJ114" s="602"/>
      <c r="AK114" s="32" t="s">
        <v>530</v>
      </c>
    </row>
    <row r="115" spans="1:37" ht="12.7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101" t="str">
        <f>"제  조  원  가 ( "&amp;A11&amp;" +"&amp;A61&amp;" +"&amp;A73&amp;" +"&amp;A90&amp;" +"&amp;A101&amp;" +"&amp;A105&amp;" +"&amp;A109&amp;" )"</f>
        <v>제  조  원  가 ( 1 +2 +3 +4 +5 +6 +7 )</v>
      </c>
      <c r="Y115" s="102" t="s">
        <v>569</v>
      </c>
      <c r="Z115" s="426" t="e">
        <f>ROUND(Z59+Z72+Z89+Z100+Z104+Z108+Z114,-4)</f>
        <v>#VALUE!</v>
      </c>
      <c r="AA115" s="426"/>
      <c r="AB115" s="426"/>
      <c r="AC115" s="5"/>
      <c r="AD115" s="110" t="str">
        <f>B109</f>
        <v>설 계 비</v>
      </c>
      <c r="AE115" s="32"/>
      <c r="AF115" s="379">
        <f>Z114</f>
        <v>5000000</v>
      </c>
      <c r="AG115" s="379"/>
      <c r="AH115" s="379"/>
      <c r="AI115" s="602" t="e">
        <f>AF115/AF119*100</f>
        <v>#VALUE!</v>
      </c>
      <c r="AJ115" s="602"/>
      <c r="AK115" s="32" t="s">
        <v>530</v>
      </c>
    </row>
    <row r="116" spans="1:37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06" t="s">
        <v>570</v>
      </c>
      <c r="U116" s="5"/>
      <c r="W116" s="105">
        <v>8</v>
      </c>
      <c r="X116" s="5" t="s">
        <v>530</v>
      </c>
      <c r="Y116" s="103" t="s">
        <v>569</v>
      </c>
      <c r="Z116" s="617" t="e">
        <f>ROUND(Z115*W116/100,-4)</f>
        <v>#VALUE!</v>
      </c>
      <c r="AA116" s="617"/>
      <c r="AB116" s="617"/>
      <c r="AC116" s="5"/>
      <c r="AD116" s="110" t="str">
        <f>T116</f>
        <v>일반관리비</v>
      </c>
      <c r="AE116" s="32"/>
      <c r="AF116" s="379" t="e">
        <f>Z116</f>
        <v>#VALUE!</v>
      </c>
      <c r="AG116" s="379"/>
      <c r="AH116" s="379"/>
      <c r="AI116" s="602" t="e">
        <f>AF116/AF119*100</f>
        <v>#VALUE!</v>
      </c>
      <c r="AJ116" s="602"/>
      <c r="AK116" s="32" t="s">
        <v>530</v>
      </c>
    </row>
    <row r="117" spans="1:3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06" t="s">
        <v>571</v>
      </c>
      <c r="U117" s="5"/>
      <c r="W117" s="105">
        <v>15</v>
      </c>
      <c r="X117" s="5" t="s">
        <v>530</v>
      </c>
      <c r="Y117" s="103" t="s">
        <v>569</v>
      </c>
      <c r="Z117" s="427" t="e">
        <f>ROUND((Z115+Z115)*(1/(1-W117/100)-1),-4)</f>
        <v>#VALUE!</v>
      </c>
      <c r="AA117" s="427"/>
      <c r="AB117" s="427"/>
      <c r="AC117" s="5"/>
      <c r="AD117" s="111" t="str">
        <f>T117</f>
        <v>이 윤</v>
      </c>
      <c r="AE117" s="54"/>
      <c r="AF117" s="407" t="e">
        <f>Z117</f>
        <v>#VALUE!</v>
      </c>
      <c r="AG117" s="407"/>
      <c r="AH117" s="407"/>
      <c r="AI117" s="618" t="e">
        <f>AF117/AF119*100</f>
        <v>#VALUE!</v>
      </c>
      <c r="AJ117" s="618"/>
      <c r="AK117" s="54" t="s">
        <v>530</v>
      </c>
    </row>
    <row r="118" spans="1:37" ht="12.7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5"/>
      <c r="AD118" s="33"/>
      <c r="AE118" s="33"/>
      <c r="AF118" s="33"/>
      <c r="AG118" s="33"/>
      <c r="AH118" s="33"/>
      <c r="AI118" s="33"/>
      <c r="AJ118" s="33"/>
      <c r="AK118" s="33"/>
    </row>
    <row r="119" spans="1:37" ht="12.7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107" t="s">
        <v>572</v>
      </c>
      <c r="U119" s="99"/>
      <c r="V119" s="99"/>
      <c r="W119" s="104" t="s">
        <v>573</v>
      </c>
      <c r="X119" s="68"/>
      <c r="Y119" s="100" t="s">
        <v>569</v>
      </c>
      <c r="Z119" s="426" t="e">
        <f>ROUND(SUM(Z115+Z116+Z117),-4)</f>
        <v>#VALUE!</v>
      </c>
      <c r="AA119" s="426"/>
      <c r="AB119" s="426"/>
      <c r="AC119" s="5"/>
      <c r="AD119" s="112" t="str">
        <f>T119</f>
        <v>견적가</v>
      </c>
      <c r="AE119" s="68"/>
      <c r="AF119" s="478" t="e">
        <f>SUM(AF109:AH117)</f>
        <v>#VALUE!</v>
      </c>
      <c r="AG119" s="478"/>
      <c r="AH119" s="478"/>
      <c r="AI119" s="619" t="e">
        <f>SUM(AI109:AJ117)</f>
        <v>#VALUE!</v>
      </c>
      <c r="AJ119" s="619"/>
      <c r="AK119" s="68" t="s">
        <v>530</v>
      </c>
    </row>
    <row r="120" spans="1:30" ht="12.75" customHeight="1">
      <c r="A120" s="2" t="str">
        <f>A60</f>
        <v> NTES</v>
      </c>
      <c r="AB120" s="8" t="str">
        <f>AB60</f>
        <v>Narai Thermal Engineering Services </v>
      </c>
      <c r="AC120" s="2"/>
      <c r="AD120" s="2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68" ht="13.5" customHeight="1"/>
    <row r="169" ht="13.5" customHeight="1"/>
  </sheetData>
  <mergeCells count="580">
    <mergeCell ref="K47:L47"/>
    <mergeCell ref="K50:L50"/>
    <mergeCell ref="N50:O50"/>
    <mergeCell ref="K49:L49"/>
    <mergeCell ref="N49:O49"/>
    <mergeCell ref="W32:Y32"/>
    <mergeCell ref="P30:Q30"/>
    <mergeCell ref="W30:Y30"/>
    <mergeCell ref="K52:L52"/>
    <mergeCell ref="N52:O52"/>
    <mergeCell ref="K46:L46"/>
    <mergeCell ref="W50:Y50"/>
    <mergeCell ref="W36:Y36"/>
    <mergeCell ref="P32:Q32"/>
    <mergeCell ref="P31:Q31"/>
    <mergeCell ref="AP65:AQ65"/>
    <mergeCell ref="AJ64:AK64"/>
    <mergeCell ref="AL64:AM64"/>
    <mergeCell ref="AN64:AO64"/>
    <mergeCell ref="AL65:AM65"/>
    <mergeCell ref="AN65:AO65"/>
    <mergeCell ref="AD65:AE65"/>
    <mergeCell ref="AF65:AG65"/>
    <mergeCell ref="AH65:AI65"/>
    <mergeCell ref="AJ65:AK65"/>
    <mergeCell ref="AD63:AE63"/>
    <mergeCell ref="AD64:AE64"/>
    <mergeCell ref="AF64:AG64"/>
    <mergeCell ref="AH64:AI64"/>
    <mergeCell ref="AN68:AO68"/>
    <mergeCell ref="AN69:AO69"/>
    <mergeCell ref="AP69:AQ69"/>
    <mergeCell ref="N68:O68"/>
    <mergeCell ref="Q68:S68"/>
    <mergeCell ref="AL68:AM68"/>
    <mergeCell ref="AL69:AM69"/>
    <mergeCell ref="AD69:AE69"/>
    <mergeCell ref="AH68:AI68"/>
    <mergeCell ref="AH69:AI69"/>
    <mergeCell ref="AD67:AE67"/>
    <mergeCell ref="AD68:AE68"/>
    <mergeCell ref="AF68:AG68"/>
    <mergeCell ref="AF69:AG69"/>
    <mergeCell ref="A93:D95"/>
    <mergeCell ref="A96:D99"/>
    <mergeCell ref="I99:J99"/>
    <mergeCell ref="L99:N99"/>
    <mergeCell ref="I97:J97"/>
    <mergeCell ref="L97:N97"/>
    <mergeCell ref="I98:J98"/>
    <mergeCell ref="L98:N98"/>
    <mergeCell ref="I96:J96"/>
    <mergeCell ref="L96:N96"/>
    <mergeCell ref="W99:Y99"/>
    <mergeCell ref="Z99:AB99"/>
    <mergeCell ref="AJ68:AK68"/>
    <mergeCell ref="AJ69:AK69"/>
    <mergeCell ref="W97:Y97"/>
    <mergeCell ref="Z97:AB97"/>
    <mergeCell ref="W98:Y98"/>
    <mergeCell ref="Z98:AB98"/>
    <mergeCell ref="W95:Y95"/>
    <mergeCell ref="Z95:AB95"/>
    <mergeCell ref="T98:U98"/>
    <mergeCell ref="W93:Y93"/>
    <mergeCell ref="Z93:AB93"/>
    <mergeCell ref="T94:U94"/>
    <mergeCell ref="W94:Y94"/>
    <mergeCell ref="Z94:AB94"/>
    <mergeCell ref="T96:U96"/>
    <mergeCell ref="W96:Y96"/>
    <mergeCell ref="Z96:AB96"/>
    <mergeCell ref="T97:U97"/>
    <mergeCell ref="I94:J94"/>
    <mergeCell ref="W91:Y91"/>
    <mergeCell ref="Z91:AB91"/>
    <mergeCell ref="T92:U92"/>
    <mergeCell ref="W92:Y92"/>
    <mergeCell ref="Z92:AB92"/>
    <mergeCell ref="L91:N91"/>
    <mergeCell ref="I93:J93"/>
    <mergeCell ref="L93:N93"/>
    <mergeCell ref="I92:J92"/>
    <mergeCell ref="J66:K66"/>
    <mergeCell ref="L78:N78"/>
    <mergeCell ref="I79:J79"/>
    <mergeCell ref="L79:N79"/>
    <mergeCell ref="A64:D67"/>
    <mergeCell ref="A68:D69"/>
    <mergeCell ref="A70:D71"/>
    <mergeCell ref="A76:D77"/>
    <mergeCell ref="J65:K65"/>
    <mergeCell ref="T85:U85"/>
    <mergeCell ref="W85:Y85"/>
    <mergeCell ref="T83:U83"/>
    <mergeCell ref="W83:Y83"/>
    <mergeCell ref="T81:U81"/>
    <mergeCell ref="W81:Y81"/>
    <mergeCell ref="T79:U79"/>
    <mergeCell ref="W79:Y79"/>
    <mergeCell ref="I80:J80"/>
    <mergeCell ref="W86:Y86"/>
    <mergeCell ref="Z86:AB86"/>
    <mergeCell ref="L80:N80"/>
    <mergeCell ref="T84:U84"/>
    <mergeCell ref="W84:Y84"/>
    <mergeCell ref="Z84:AB84"/>
    <mergeCell ref="Z85:AB85"/>
    <mergeCell ref="T82:U82"/>
    <mergeCell ref="W82:Y82"/>
    <mergeCell ref="L81:N81"/>
    <mergeCell ref="W78:Y78"/>
    <mergeCell ref="Z78:AB78"/>
    <mergeCell ref="Z79:AB79"/>
    <mergeCell ref="Z82:AB82"/>
    <mergeCell ref="W80:Y80"/>
    <mergeCell ref="Z80:AB80"/>
    <mergeCell ref="Z81:AB81"/>
    <mergeCell ref="W77:Y77"/>
    <mergeCell ref="Z77:AB77"/>
    <mergeCell ref="T76:U76"/>
    <mergeCell ref="Z76:AB76"/>
    <mergeCell ref="W76:Y76"/>
    <mergeCell ref="Z36:AB36"/>
    <mergeCell ref="W55:Y55"/>
    <mergeCell ref="P23:Q23"/>
    <mergeCell ref="R23:S23"/>
    <mergeCell ref="W33:Y33"/>
    <mergeCell ref="Z33:AB33"/>
    <mergeCell ref="P33:Q33"/>
    <mergeCell ref="R30:S30"/>
    <mergeCell ref="P27:Q27"/>
    <mergeCell ref="Z32:AB32"/>
    <mergeCell ref="W31:Y31"/>
    <mergeCell ref="U30:V30"/>
    <mergeCell ref="K24:L24"/>
    <mergeCell ref="P24:Q24"/>
    <mergeCell ref="R24:S24"/>
    <mergeCell ref="R31:S31"/>
    <mergeCell ref="N24:O24"/>
    <mergeCell ref="P28:Q28"/>
    <mergeCell ref="K31:L31"/>
    <mergeCell ref="P29:Q29"/>
    <mergeCell ref="U22:V22"/>
    <mergeCell ref="W22:Y22"/>
    <mergeCell ref="Z24:AB24"/>
    <mergeCell ref="Z22:AB22"/>
    <mergeCell ref="Z23:AB23"/>
    <mergeCell ref="U32:V32"/>
    <mergeCell ref="N29:O29"/>
    <mergeCell ref="K27:L27"/>
    <mergeCell ref="N30:O30"/>
    <mergeCell ref="U28:V28"/>
    <mergeCell ref="K20:L20"/>
    <mergeCell ref="K21:L21"/>
    <mergeCell ref="N21:O21"/>
    <mergeCell ref="K22:L22"/>
    <mergeCell ref="N22:O22"/>
    <mergeCell ref="K54:L54"/>
    <mergeCell ref="N54:O54"/>
    <mergeCell ref="K34:L34"/>
    <mergeCell ref="N34:O34"/>
    <mergeCell ref="K45:L45"/>
    <mergeCell ref="K35:L35"/>
    <mergeCell ref="N53:O53"/>
    <mergeCell ref="K51:L51"/>
    <mergeCell ref="N51:O51"/>
    <mergeCell ref="N47:O47"/>
    <mergeCell ref="N46:O46"/>
    <mergeCell ref="N35:O35"/>
    <mergeCell ref="N33:O33"/>
    <mergeCell ref="K29:L29"/>
    <mergeCell ref="K32:L32"/>
    <mergeCell ref="N32:O32"/>
    <mergeCell ref="K33:L33"/>
    <mergeCell ref="N31:O31"/>
    <mergeCell ref="N45:O45"/>
    <mergeCell ref="K23:L23"/>
    <mergeCell ref="N23:O23"/>
    <mergeCell ref="K37:L37"/>
    <mergeCell ref="K28:L28"/>
    <mergeCell ref="N28:O28"/>
    <mergeCell ref="K36:L36"/>
    <mergeCell ref="N36:O36"/>
    <mergeCell ref="N27:O27"/>
    <mergeCell ref="K26:L26"/>
    <mergeCell ref="N26:O26"/>
    <mergeCell ref="K56:L56"/>
    <mergeCell ref="N56:O56"/>
    <mergeCell ref="U55:V55"/>
    <mergeCell ref="R56:S56"/>
    <mergeCell ref="P56:Q56"/>
    <mergeCell ref="K55:L55"/>
    <mergeCell ref="P55:Q55"/>
    <mergeCell ref="W37:Y37"/>
    <mergeCell ref="Z37:AB37"/>
    <mergeCell ref="U37:V37"/>
    <mergeCell ref="Z51:AB51"/>
    <mergeCell ref="Z45:AB45"/>
    <mergeCell ref="U48:V48"/>
    <mergeCell ref="W48:Y48"/>
    <mergeCell ref="U43:V43"/>
    <mergeCell ref="U49:V49"/>
    <mergeCell ref="U51:V51"/>
    <mergeCell ref="K57:L57"/>
    <mergeCell ref="K39:L39"/>
    <mergeCell ref="N39:O39"/>
    <mergeCell ref="P39:Q39"/>
    <mergeCell ref="K48:L48"/>
    <mergeCell ref="N48:O48"/>
    <mergeCell ref="P48:Q48"/>
    <mergeCell ref="P52:Q52"/>
    <mergeCell ref="N55:O55"/>
    <mergeCell ref="K53:L53"/>
    <mergeCell ref="R53:S53"/>
    <mergeCell ref="P54:Q54"/>
    <mergeCell ref="R54:S54"/>
    <mergeCell ref="Z53:AB53"/>
    <mergeCell ref="Z54:AB54"/>
    <mergeCell ref="P53:Q53"/>
    <mergeCell ref="Z48:AB48"/>
    <mergeCell ref="Z42:AB42"/>
    <mergeCell ref="R57:S57"/>
    <mergeCell ref="R52:S52"/>
    <mergeCell ref="R55:S55"/>
    <mergeCell ref="R50:S50"/>
    <mergeCell ref="R51:S51"/>
    <mergeCell ref="R48:S48"/>
    <mergeCell ref="R46:S46"/>
    <mergeCell ref="U52:V52"/>
    <mergeCell ref="W39:Y39"/>
    <mergeCell ref="Z39:AB39"/>
    <mergeCell ref="W51:Y51"/>
    <mergeCell ref="W44:Y44"/>
    <mergeCell ref="Z40:AB40"/>
    <mergeCell ref="W41:Y41"/>
    <mergeCell ref="Z47:AB47"/>
    <mergeCell ref="W43:Y43"/>
    <mergeCell ref="Z43:AB43"/>
    <mergeCell ref="Z44:AB44"/>
    <mergeCell ref="W38:Y38"/>
    <mergeCell ref="Z38:AB38"/>
    <mergeCell ref="U44:V44"/>
    <mergeCell ref="U50:V50"/>
    <mergeCell ref="W49:Y49"/>
    <mergeCell ref="W47:Y47"/>
    <mergeCell ref="W42:Y42"/>
    <mergeCell ref="W40:Y40"/>
    <mergeCell ref="U38:V38"/>
    <mergeCell ref="U47:V47"/>
    <mergeCell ref="P51:Q51"/>
    <mergeCell ref="P50:Q50"/>
    <mergeCell ref="O58:P58"/>
    <mergeCell ref="R18:S18"/>
    <mergeCell ref="N57:O57"/>
    <mergeCell ref="R43:S43"/>
    <mergeCell ref="N37:O37"/>
    <mergeCell ref="P57:Q57"/>
    <mergeCell ref="R25:S25"/>
    <mergeCell ref="R27:S27"/>
    <mergeCell ref="P49:Q49"/>
    <mergeCell ref="R49:S49"/>
    <mergeCell ref="R45:S45"/>
    <mergeCell ref="P44:Q44"/>
    <mergeCell ref="P46:Q46"/>
    <mergeCell ref="P45:Q45"/>
    <mergeCell ref="R47:S47"/>
    <mergeCell ref="P47:Q47"/>
    <mergeCell ref="P43:Q43"/>
    <mergeCell ref="P38:Q38"/>
    <mergeCell ref="R38:S38"/>
    <mergeCell ref="R39:S39"/>
    <mergeCell ref="P40:Q40"/>
    <mergeCell ref="R40:S40"/>
    <mergeCell ref="R36:S36"/>
    <mergeCell ref="P35:Q35"/>
    <mergeCell ref="U40:V40"/>
    <mergeCell ref="U39:V39"/>
    <mergeCell ref="R37:S37"/>
    <mergeCell ref="R35:S35"/>
    <mergeCell ref="U36:V36"/>
    <mergeCell ref="P36:Q36"/>
    <mergeCell ref="P37:Q37"/>
    <mergeCell ref="AI116:AJ116"/>
    <mergeCell ref="AI113:AJ113"/>
    <mergeCell ref="AI114:AJ114"/>
    <mergeCell ref="AI115:AJ115"/>
    <mergeCell ref="W64:Y64"/>
    <mergeCell ref="T64:U64"/>
    <mergeCell ref="T58:V58"/>
    <mergeCell ref="Z58:AB58"/>
    <mergeCell ref="W57:Y57"/>
    <mergeCell ref="U53:V53"/>
    <mergeCell ref="W54:Y54"/>
    <mergeCell ref="Z59:AB59"/>
    <mergeCell ref="Z56:AB56"/>
    <mergeCell ref="Z67:AB67"/>
    <mergeCell ref="W46:Y46"/>
    <mergeCell ref="W52:Y52"/>
    <mergeCell ref="Z52:AB52"/>
    <mergeCell ref="Z55:AB55"/>
    <mergeCell ref="Z66:AB66"/>
    <mergeCell ref="Z62:AB62"/>
    <mergeCell ref="Z46:AB46"/>
    <mergeCell ref="W62:Y62"/>
    <mergeCell ref="Z65:AB65"/>
    <mergeCell ref="L112:N112"/>
    <mergeCell ref="L113:N113"/>
    <mergeCell ref="B61:AB61"/>
    <mergeCell ref="X72:Y72"/>
    <mergeCell ref="A62:D63"/>
    <mergeCell ref="T70:U70"/>
    <mergeCell ref="T71:U71"/>
    <mergeCell ref="T74:U74"/>
    <mergeCell ref="T75:U75"/>
    <mergeCell ref="T67:U67"/>
    <mergeCell ref="L110:N110"/>
    <mergeCell ref="T68:U68"/>
    <mergeCell ref="I106:K106"/>
    <mergeCell ref="L102:N102"/>
    <mergeCell ref="T77:U77"/>
    <mergeCell ref="I78:J78"/>
    <mergeCell ref="I81:J81"/>
    <mergeCell ref="I95:J95"/>
    <mergeCell ref="L95:N95"/>
    <mergeCell ref="L94:N94"/>
    <mergeCell ref="Z117:AB117"/>
    <mergeCell ref="Z115:AB115"/>
    <mergeCell ref="Z68:AB68"/>
    <mergeCell ref="Z69:AB69"/>
    <mergeCell ref="Z74:AB74"/>
    <mergeCell ref="Z75:AB75"/>
    <mergeCell ref="Z70:AB70"/>
    <mergeCell ref="Z83:AB83"/>
    <mergeCell ref="Z116:AB116"/>
    <mergeCell ref="Z71:AB71"/>
    <mergeCell ref="AI119:AJ119"/>
    <mergeCell ref="AD108:AK108"/>
    <mergeCell ref="AF116:AH116"/>
    <mergeCell ref="AF117:AH117"/>
    <mergeCell ref="AF119:AH119"/>
    <mergeCell ref="AI109:AJ109"/>
    <mergeCell ref="AI110:AJ110"/>
    <mergeCell ref="AI111:AJ111"/>
    <mergeCell ref="AI112:AJ112"/>
    <mergeCell ref="AI117:AJ117"/>
    <mergeCell ref="Z119:AB119"/>
    <mergeCell ref="AF109:AH109"/>
    <mergeCell ref="AF110:AH110"/>
    <mergeCell ref="AF111:AH111"/>
    <mergeCell ref="AF112:AH112"/>
    <mergeCell ref="AF113:AH113"/>
    <mergeCell ref="AF114:AH114"/>
    <mergeCell ref="AF115:AH115"/>
    <mergeCell ref="Z110:AB110"/>
    <mergeCell ref="Z111:AB111"/>
    <mergeCell ref="X114:Y114"/>
    <mergeCell ref="E113:F113"/>
    <mergeCell ref="E107:F107"/>
    <mergeCell ref="X108:Y108"/>
    <mergeCell ref="S110:T110"/>
    <mergeCell ref="W110:Y110"/>
    <mergeCell ref="S111:T111"/>
    <mergeCell ref="W111:Y111"/>
    <mergeCell ref="L111:N111"/>
    <mergeCell ref="I111:K111"/>
    <mergeCell ref="I113:K113"/>
    <mergeCell ref="E110:F110"/>
    <mergeCell ref="E111:F111"/>
    <mergeCell ref="E112:F112"/>
    <mergeCell ref="I110:K110"/>
    <mergeCell ref="E106:F106"/>
    <mergeCell ref="I112:K112"/>
    <mergeCell ref="Z72:AB72"/>
    <mergeCell ref="Z89:AB89"/>
    <mergeCell ref="B73:AB73"/>
    <mergeCell ref="L106:N106"/>
    <mergeCell ref="E103:F103"/>
    <mergeCell ref="J102:K102"/>
    <mergeCell ref="J103:K103"/>
    <mergeCell ref="L92:N92"/>
    <mergeCell ref="T65:U65"/>
    <mergeCell ref="U45:V45"/>
    <mergeCell ref="W45:Y45"/>
    <mergeCell ref="W53:Y53"/>
    <mergeCell ref="W56:Y56"/>
    <mergeCell ref="U54:V54"/>
    <mergeCell ref="U46:V46"/>
    <mergeCell ref="X58:Y58"/>
    <mergeCell ref="U57:V57"/>
    <mergeCell ref="U56:V56"/>
    <mergeCell ref="W106:Y106"/>
    <mergeCell ref="W68:Y68"/>
    <mergeCell ref="T69:U69"/>
    <mergeCell ref="W66:Y66"/>
    <mergeCell ref="W69:Y69"/>
    <mergeCell ref="W67:Y67"/>
    <mergeCell ref="W74:Y74"/>
    <mergeCell ref="W75:Y75"/>
    <mergeCell ref="W71:Y71"/>
    <mergeCell ref="W70:Y70"/>
    <mergeCell ref="X89:Y89"/>
    <mergeCell ref="X100:Y100"/>
    <mergeCell ref="B90:AB90"/>
    <mergeCell ref="O91:Q93"/>
    <mergeCell ref="A91:D92"/>
    <mergeCell ref="I91:J91"/>
    <mergeCell ref="O95:Q96"/>
    <mergeCell ref="T91:U91"/>
    <mergeCell ref="T93:U93"/>
    <mergeCell ref="T95:U95"/>
    <mergeCell ref="E102:F102"/>
    <mergeCell ref="B101:AB101"/>
    <mergeCell ref="Z64:AB64"/>
    <mergeCell ref="T59:V59"/>
    <mergeCell ref="X59:Y59"/>
    <mergeCell ref="W63:Y63"/>
    <mergeCell ref="Z63:AB63"/>
    <mergeCell ref="T63:U63"/>
    <mergeCell ref="Z100:AB100"/>
    <mergeCell ref="Z102:AB102"/>
    <mergeCell ref="Z104:AB104"/>
    <mergeCell ref="Z108:AB108"/>
    <mergeCell ref="Z114:AB114"/>
    <mergeCell ref="B109:AB109"/>
    <mergeCell ref="B105:AB105"/>
    <mergeCell ref="X104:Y104"/>
    <mergeCell ref="I107:K107"/>
    <mergeCell ref="L107:N107"/>
    <mergeCell ref="S106:T106"/>
    <mergeCell ref="Z106:AB106"/>
    <mergeCell ref="O59:P59"/>
    <mergeCell ref="Q59:S59"/>
    <mergeCell ref="L103:N103"/>
    <mergeCell ref="S102:T102"/>
    <mergeCell ref="T88:U88"/>
    <mergeCell ref="T62:U62"/>
    <mergeCell ref="T78:U78"/>
    <mergeCell ref="T80:U80"/>
    <mergeCell ref="T86:U86"/>
    <mergeCell ref="T99:U99"/>
    <mergeCell ref="X102:Y102"/>
    <mergeCell ref="U25:V25"/>
    <mergeCell ref="U21:V21"/>
    <mergeCell ref="W24:Y24"/>
    <mergeCell ref="U24:V24"/>
    <mergeCell ref="W25:Y25"/>
    <mergeCell ref="U23:V23"/>
    <mergeCell ref="W23:Y23"/>
    <mergeCell ref="U41:V41"/>
    <mergeCell ref="U42:V42"/>
    <mergeCell ref="Z34:AB34"/>
    <mergeCell ref="Z35:AB35"/>
    <mergeCell ref="W34:Y34"/>
    <mergeCell ref="U34:V34"/>
    <mergeCell ref="W35:Y35"/>
    <mergeCell ref="U35:V35"/>
    <mergeCell ref="W21:Y21"/>
    <mergeCell ref="R34:S34"/>
    <mergeCell ref="P34:Q34"/>
    <mergeCell ref="P26:Q26"/>
    <mergeCell ref="W27:Y27"/>
    <mergeCell ref="P22:Q22"/>
    <mergeCell ref="R22:S22"/>
    <mergeCell ref="R33:S33"/>
    <mergeCell ref="U33:V33"/>
    <mergeCell ref="U31:V31"/>
    <mergeCell ref="P15:Q15"/>
    <mergeCell ref="R15:S15"/>
    <mergeCell ref="P18:Q18"/>
    <mergeCell ref="R32:S32"/>
    <mergeCell ref="R29:S29"/>
    <mergeCell ref="R19:S19"/>
    <mergeCell ref="P20:Q20"/>
    <mergeCell ref="R16:S16"/>
    <mergeCell ref="R26:S26"/>
    <mergeCell ref="R28:S28"/>
    <mergeCell ref="Z30:AB30"/>
    <mergeCell ref="U29:V29"/>
    <mergeCell ref="W29:Y29"/>
    <mergeCell ref="Z27:AB27"/>
    <mergeCell ref="U27:V27"/>
    <mergeCell ref="Z29:AB29"/>
    <mergeCell ref="W28:Y28"/>
    <mergeCell ref="Z28:AB28"/>
    <mergeCell ref="E10:F10"/>
    <mergeCell ref="B11:AB11"/>
    <mergeCell ref="Z12:AB13"/>
    <mergeCell ref="Z41:AB41"/>
    <mergeCell ref="W20:Y20"/>
    <mergeCell ref="Z20:AB20"/>
    <mergeCell ref="N17:O17"/>
    <mergeCell ref="A12:E13"/>
    <mergeCell ref="Z31:AB31"/>
    <mergeCell ref="W26:Y26"/>
    <mergeCell ref="A14:AB14"/>
    <mergeCell ref="N20:O20"/>
    <mergeCell ref="K44:L44"/>
    <mergeCell ref="N44:O44"/>
    <mergeCell ref="K41:L41"/>
    <mergeCell ref="N41:O41"/>
    <mergeCell ref="N42:O42"/>
    <mergeCell ref="K43:L43"/>
    <mergeCell ref="K42:L42"/>
    <mergeCell ref="N16:O16"/>
    <mergeCell ref="A1:AB3"/>
    <mergeCell ref="X4:AB4"/>
    <mergeCell ref="X5:AB5"/>
    <mergeCell ref="X6:AB6"/>
    <mergeCell ref="R7:T7"/>
    <mergeCell ref="N13:O13"/>
    <mergeCell ref="U13:V13"/>
    <mergeCell ref="W12:Y13"/>
    <mergeCell ref="K12:O12"/>
    <mergeCell ref="R13:S13"/>
    <mergeCell ref="R12:V12"/>
    <mergeCell ref="K19:L19"/>
    <mergeCell ref="N19:O19"/>
    <mergeCell ref="X8:AB8"/>
    <mergeCell ref="U15:V15"/>
    <mergeCell ref="U18:V18"/>
    <mergeCell ref="U19:V19"/>
    <mergeCell ref="U16:V16"/>
    <mergeCell ref="W16:Y16"/>
    <mergeCell ref="P16:Q16"/>
    <mergeCell ref="P19:Q19"/>
    <mergeCell ref="U17:V17"/>
    <mergeCell ref="R21:S21"/>
    <mergeCell ref="R17:S17"/>
    <mergeCell ref="P21:Q21"/>
    <mergeCell ref="R20:S20"/>
    <mergeCell ref="U20:V20"/>
    <mergeCell ref="K25:L25"/>
    <mergeCell ref="N25:O25"/>
    <mergeCell ref="N43:O43"/>
    <mergeCell ref="K38:L38"/>
    <mergeCell ref="N38:O38"/>
    <mergeCell ref="K40:L40"/>
    <mergeCell ref="N40:O40"/>
    <mergeCell ref="K30:L30"/>
    <mergeCell ref="F12:J13"/>
    <mergeCell ref="K18:L18"/>
    <mergeCell ref="N18:O18"/>
    <mergeCell ref="P12:Q13"/>
    <mergeCell ref="P17:Q17"/>
    <mergeCell ref="K15:L15"/>
    <mergeCell ref="K13:L13"/>
    <mergeCell ref="K17:L17"/>
    <mergeCell ref="N15:O15"/>
    <mergeCell ref="K16:L16"/>
    <mergeCell ref="Z15:AB15"/>
    <mergeCell ref="W15:Y15"/>
    <mergeCell ref="Z21:AB21"/>
    <mergeCell ref="Z18:AB18"/>
    <mergeCell ref="Z17:AB17"/>
    <mergeCell ref="W19:Y19"/>
    <mergeCell ref="W17:Y17"/>
    <mergeCell ref="W18:Y18"/>
    <mergeCell ref="Z16:AB16"/>
    <mergeCell ref="Z19:AB19"/>
    <mergeCell ref="Q58:S58"/>
    <mergeCell ref="Z25:AB25"/>
    <mergeCell ref="P25:Q25"/>
    <mergeCell ref="R41:S41"/>
    <mergeCell ref="P41:Q41"/>
    <mergeCell ref="P42:Q42"/>
    <mergeCell ref="R42:S42"/>
    <mergeCell ref="R44:S44"/>
    <mergeCell ref="Z26:AB26"/>
    <mergeCell ref="U26:V26"/>
    <mergeCell ref="Z49:AB49"/>
    <mergeCell ref="W88:Y88"/>
    <mergeCell ref="Z88:AB88"/>
    <mergeCell ref="T87:U87"/>
    <mergeCell ref="W87:Y87"/>
    <mergeCell ref="Z87:AB87"/>
    <mergeCell ref="Z57:AB57"/>
    <mergeCell ref="Z50:AB50"/>
    <mergeCell ref="T66:U66"/>
    <mergeCell ref="W65:Y65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7" r:id="rId4"/>
  <rowBreaks count="1" manualBreakCount="1">
    <brk id="60" max="2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F60"/>
  <sheetViews>
    <sheetView view="pageBreakPreview" zoomScaleSheetLayoutView="100" workbookViewId="0" topLeftCell="A1">
      <selection activeCell="AA5" sqref="AA5"/>
    </sheetView>
  </sheetViews>
  <sheetFormatPr defaultColWidth="8.88671875" defaultRowHeight="13.5"/>
  <cols>
    <col min="1" max="78" width="2.77734375" style="1" customWidth="1"/>
    <col min="79" max="16384" width="8.88671875" style="1" customWidth="1"/>
  </cols>
  <sheetData>
    <row r="1" spans="1:28" ht="12.75" customHeight="1">
      <c r="A1" s="351" t="s">
        <v>185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</row>
    <row r="2" spans="1:28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</row>
    <row r="3" spans="1:28" ht="12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2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C5" s="3"/>
      <c r="AD5" s="4"/>
      <c r="AE5" s="4"/>
      <c r="AF5" s="4"/>
    </row>
    <row r="6" spans="1:3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C6" s="3"/>
      <c r="AE6" s="4"/>
      <c r="AF6" s="4"/>
    </row>
    <row r="7" spans="1:29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C7" s="6"/>
    </row>
    <row r="8" spans="1:29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C8" s="6"/>
    </row>
    <row r="9" spans="1:2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AC9" s="6"/>
    </row>
    <row r="10" spans="1:2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9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AC12" s="6"/>
    </row>
    <row r="13" spans="1:21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9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</row>
    <row r="24" spans="1:29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</row>
    <row r="25" spans="1:29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C35" s="6"/>
    </row>
    <row r="36" spans="1:2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9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  <c r="AA44" s="6"/>
      <c r="AB44" s="6"/>
      <c r="AC44" s="6"/>
    </row>
    <row r="45" spans="1:2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9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5"/>
      <c r="AD59" s="2"/>
    </row>
    <row r="60" spans="1:30" ht="12.75" customHeight="1">
      <c r="A60" s="2" t="s">
        <v>186</v>
      </c>
      <c r="AB60" s="8" t="s">
        <v>187</v>
      </c>
      <c r="AC60" s="2"/>
      <c r="AD60" s="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108" ht="13.5" customHeight="1"/>
    <row r="109" ht="13.5" customHeight="1"/>
  </sheetData>
  <mergeCells count="1">
    <mergeCell ref="A1:AB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2019-09-06T06:53:41Z</cp:lastPrinted>
  <dcterms:created xsi:type="dcterms:W3CDTF">2003-02-24T17:06:01Z</dcterms:created>
  <dcterms:modified xsi:type="dcterms:W3CDTF">2020-01-05T02:40:44Z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